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trength Matters\FINAL\Module 5\"/>
    </mc:Choice>
  </mc:AlternateContent>
  <xr:revisionPtr revIDLastSave="0" documentId="14_{151435A2-F57D-4327-8BDF-5653248F7EF5}" xr6:coauthVersionLast="45" xr6:coauthVersionMax="45" xr10:uidLastSave="{00000000-0000-0000-0000-000000000000}"/>
  <bookViews>
    <workbookView xWindow="28680" yWindow="-120" windowWidth="29040" windowHeight="15840" xr2:uid="{1026F077-B7A7-487C-8775-71E8E8B89875}"/>
  </bookViews>
  <sheets>
    <sheet name="Sample Requistion" sheetId="1" r:id="rId1"/>
    <sheet name="Editable" sheetId="2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9" i="2" l="1"/>
  <c r="L112" i="2"/>
  <c r="K112" i="2"/>
  <c r="I112" i="2"/>
  <c r="J112" i="2" s="1"/>
  <c r="F112" i="2"/>
  <c r="M112" i="2" s="1"/>
  <c r="I111" i="2"/>
  <c r="L111" i="2" s="1"/>
  <c r="F111" i="2"/>
  <c r="A111" i="2"/>
  <c r="L110" i="2"/>
  <c r="I110" i="2"/>
  <c r="F110" i="2"/>
  <c r="K110" i="2" s="1"/>
  <c r="A110" i="2"/>
  <c r="K109" i="2"/>
  <c r="I109" i="2"/>
  <c r="J109" i="2" s="1"/>
  <c r="F109" i="2"/>
  <c r="A109" i="2"/>
  <c r="L108" i="2"/>
  <c r="J108" i="2"/>
  <c r="I108" i="2"/>
  <c r="F108" i="2"/>
  <c r="M108" i="2" s="1"/>
  <c r="A108" i="2"/>
  <c r="L107" i="2"/>
  <c r="I107" i="2"/>
  <c r="F107" i="2"/>
  <c r="M107" i="2" s="1"/>
  <c r="E107" i="2"/>
  <c r="D107" i="2"/>
  <c r="A107" i="2"/>
  <c r="H106" i="2"/>
  <c r="G106" i="2"/>
  <c r="G113" i="2" s="1"/>
  <c r="E106" i="2"/>
  <c r="E113" i="2" s="1"/>
  <c r="D106" i="2"/>
  <c r="D113" i="2" s="1"/>
  <c r="A106" i="2"/>
  <c r="F105" i="2"/>
  <c r="A105" i="2"/>
  <c r="F104" i="2"/>
  <c r="A104" i="2"/>
  <c r="F103" i="2"/>
  <c r="A103" i="2"/>
  <c r="F102" i="2"/>
  <c r="A102" i="2"/>
  <c r="F101" i="2"/>
  <c r="A101" i="2"/>
  <c r="K100" i="2"/>
  <c r="J100" i="2"/>
  <c r="I100" i="2"/>
  <c r="F100" i="2"/>
  <c r="A100" i="2"/>
  <c r="I93" i="2"/>
  <c r="I48" i="2"/>
  <c r="E48" i="2"/>
  <c r="F48" i="2" s="1"/>
  <c r="J47" i="2"/>
  <c r="I47" i="2"/>
  <c r="F47" i="2"/>
  <c r="K47" i="2" s="1"/>
  <c r="I46" i="2"/>
  <c r="F46" i="2"/>
  <c r="K46" i="2" s="1"/>
  <c r="L46" i="2" s="1"/>
  <c r="H43" i="2"/>
  <c r="G43" i="2"/>
  <c r="E43" i="2"/>
  <c r="D43" i="2"/>
  <c r="L42" i="2"/>
  <c r="M42" i="2" s="1"/>
  <c r="K42" i="2"/>
  <c r="I42" i="2"/>
  <c r="F42" i="2"/>
  <c r="A42" i="2"/>
  <c r="J41" i="2"/>
  <c r="I41" i="2"/>
  <c r="L41" i="2" s="1"/>
  <c r="M41" i="2" s="1"/>
  <c r="F41" i="2"/>
  <c r="K41" i="2" s="1"/>
  <c r="A41" i="2"/>
  <c r="L40" i="2"/>
  <c r="I40" i="2"/>
  <c r="J40" i="2" s="1"/>
  <c r="F40" i="2"/>
  <c r="M40" i="2" s="1"/>
  <c r="A40" i="2"/>
  <c r="I39" i="2"/>
  <c r="L39" i="2" s="1"/>
  <c r="M39" i="2" s="1"/>
  <c r="I38" i="2"/>
  <c r="L38" i="2" s="1"/>
  <c r="M38" i="2" s="1"/>
  <c r="L37" i="2"/>
  <c r="I37" i="2"/>
  <c r="J37" i="2" s="1"/>
  <c r="F37" i="2"/>
  <c r="M37" i="2" s="1"/>
  <c r="K36" i="2"/>
  <c r="J36" i="2"/>
  <c r="I36" i="2"/>
  <c r="L36" i="2" s="1"/>
  <c r="M36" i="2" s="1"/>
  <c r="F36" i="2"/>
  <c r="A36" i="2"/>
  <c r="I35" i="2"/>
  <c r="F35" i="2"/>
  <c r="K35" i="2" s="1"/>
  <c r="L35" i="2" s="1"/>
  <c r="M35" i="2" s="1"/>
  <c r="A35" i="2"/>
  <c r="J34" i="2"/>
  <c r="I34" i="2"/>
  <c r="L34" i="2" s="1"/>
  <c r="M34" i="2" s="1"/>
  <c r="F34" i="2"/>
  <c r="L33" i="2"/>
  <c r="M33" i="2" s="1"/>
  <c r="K33" i="2"/>
  <c r="I33" i="2"/>
  <c r="J33" i="2" s="1"/>
  <c r="F33" i="2"/>
  <c r="A33" i="2"/>
  <c r="J32" i="2"/>
  <c r="I32" i="2"/>
  <c r="L32" i="2" s="1"/>
  <c r="M32" i="2" s="1"/>
  <c r="F32" i="2"/>
  <c r="A32" i="2"/>
  <c r="I31" i="2"/>
  <c r="F31" i="2"/>
  <c r="A31" i="2"/>
  <c r="L30" i="2"/>
  <c r="M30" i="2" s="1"/>
  <c r="J30" i="2"/>
  <c r="I30" i="2"/>
  <c r="F30" i="2"/>
  <c r="A30" i="2"/>
  <c r="I29" i="2"/>
  <c r="L29" i="2" s="1"/>
  <c r="M29" i="2" s="1"/>
  <c r="F29" i="2"/>
  <c r="A29" i="2"/>
  <c r="I28" i="2"/>
  <c r="J28" i="2" s="1"/>
  <c r="F28" i="2"/>
  <c r="K28" i="2" s="1"/>
  <c r="L28" i="2" s="1"/>
  <c r="M28" i="2" s="1"/>
  <c r="A28" i="2"/>
  <c r="K27" i="2"/>
  <c r="J27" i="2"/>
  <c r="I27" i="2"/>
  <c r="L27" i="2" s="1"/>
  <c r="M27" i="2" s="1"/>
  <c r="F27" i="2"/>
  <c r="A27" i="2"/>
  <c r="K26" i="2"/>
  <c r="J26" i="2"/>
  <c r="I26" i="2"/>
  <c r="L26" i="2" s="1"/>
  <c r="M26" i="2" s="1"/>
  <c r="F26" i="2"/>
  <c r="A26" i="2"/>
  <c r="L25" i="2"/>
  <c r="I25" i="2"/>
  <c r="J25" i="2" s="1"/>
  <c r="F25" i="2"/>
  <c r="M25" i="2" s="1"/>
  <c r="A25" i="2"/>
  <c r="K24" i="2"/>
  <c r="L24" i="2" s="1"/>
  <c r="M24" i="2" s="1"/>
  <c r="J24" i="2"/>
  <c r="I24" i="2"/>
  <c r="F24" i="2"/>
  <c r="A24" i="2"/>
  <c r="J23" i="2"/>
  <c r="I23" i="2"/>
  <c r="F23" i="2"/>
  <c r="A23" i="2"/>
  <c r="I22" i="2"/>
  <c r="F22" i="2"/>
  <c r="J21" i="2"/>
  <c r="I21" i="2"/>
  <c r="L21" i="2" s="1"/>
  <c r="M21" i="2" s="1"/>
  <c r="F21" i="2"/>
  <c r="A21" i="2"/>
  <c r="M20" i="2"/>
  <c r="L20" i="2"/>
  <c r="I20" i="2"/>
  <c r="I43" i="2" s="1"/>
  <c r="F20" i="2"/>
  <c r="F43" i="2" s="1"/>
  <c r="A20" i="2"/>
  <c r="H17" i="2"/>
  <c r="H50" i="2" s="1"/>
  <c r="G17" i="2"/>
  <c r="G50" i="2" s="1"/>
  <c r="D17" i="2"/>
  <c r="D50" i="2" s="1"/>
  <c r="D114" i="2" s="1"/>
  <c r="I16" i="2"/>
  <c r="F16" i="2"/>
  <c r="F17" i="2" s="1"/>
  <c r="E16" i="2"/>
  <c r="E17" i="2" s="1"/>
  <c r="E50" i="2" s="1"/>
  <c r="E114" i="2" s="1"/>
  <c r="J15" i="2"/>
  <c r="J17" i="2" s="1"/>
  <c r="I15" i="2"/>
  <c r="I17" i="2" s="1"/>
  <c r="I50" i="2" s="1"/>
  <c r="F15" i="2"/>
  <c r="I13" i="2"/>
  <c r="J13" i="2" s="1"/>
  <c r="F13" i="2"/>
  <c r="K13" i="2" s="1"/>
  <c r="J12" i="2"/>
  <c r="I12" i="2"/>
  <c r="F12" i="2"/>
  <c r="I11" i="2"/>
  <c r="J11" i="2" s="1"/>
  <c r="F11" i="2"/>
  <c r="K11" i="2" s="1"/>
  <c r="E2" i="2"/>
  <c r="E94" i="2" s="1"/>
  <c r="E1" i="2"/>
  <c r="E93" i="2" s="1"/>
  <c r="M43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20" i="1"/>
  <c r="K26" i="1"/>
  <c r="K33" i="1"/>
  <c r="K36" i="1"/>
  <c r="L36" i="1" s="1"/>
  <c r="M106" i="1"/>
  <c r="M101" i="1"/>
  <c r="M102" i="1"/>
  <c r="M103" i="1"/>
  <c r="M104" i="1"/>
  <c r="M105" i="1"/>
  <c r="M107" i="1"/>
  <c r="M108" i="1"/>
  <c r="M109" i="1"/>
  <c r="M110" i="1"/>
  <c r="M111" i="1"/>
  <c r="M112" i="1"/>
  <c r="M100" i="1"/>
  <c r="L112" i="1"/>
  <c r="J113" i="1"/>
  <c r="I36" i="1"/>
  <c r="I40" i="1"/>
  <c r="E106" i="1"/>
  <c r="D106" i="1"/>
  <c r="G106" i="1"/>
  <c r="E107" i="1"/>
  <c r="D107" i="1"/>
  <c r="L47" i="1"/>
  <c r="K31" i="1"/>
  <c r="K27" i="1"/>
  <c r="L26" i="1"/>
  <c r="K24" i="1"/>
  <c r="L21" i="1"/>
  <c r="L22" i="1"/>
  <c r="L23" i="1"/>
  <c r="L24" i="1"/>
  <c r="L25" i="1"/>
  <c r="L27" i="1"/>
  <c r="L28" i="1"/>
  <c r="L30" i="1"/>
  <c r="L31" i="1"/>
  <c r="L32" i="1"/>
  <c r="L33" i="1"/>
  <c r="L34" i="1"/>
  <c r="L35" i="1"/>
  <c r="L37" i="1"/>
  <c r="L38" i="1"/>
  <c r="L20" i="1"/>
  <c r="K22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6" i="1"/>
  <c r="J41" i="1"/>
  <c r="I21" i="1"/>
  <c r="I22" i="1"/>
  <c r="I23" i="1"/>
  <c r="I24" i="1"/>
  <c r="I25" i="1"/>
  <c r="I26" i="1"/>
  <c r="I27" i="1"/>
  <c r="I28" i="1"/>
  <c r="I29" i="1"/>
  <c r="L29" i="1" s="1"/>
  <c r="I30" i="1"/>
  <c r="I31" i="1"/>
  <c r="I32" i="1"/>
  <c r="I33" i="1"/>
  <c r="I34" i="1"/>
  <c r="I35" i="1"/>
  <c r="I37" i="1"/>
  <c r="I38" i="1"/>
  <c r="I39" i="1"/>
  <c r="L39" i="1" s="1"/>
  <c r="I41" i="1"/>
  <c r="F34" i="1"/>
  <c r="E43" i="1"/>
  <c r="E50" i="1" s="1"/>
  <c r="G43" i="1"/>
  <c r="G50" i="1" s="1"/>
  <c r="G114" i="1" s="1"/>
  <c r="H43" i="1"/>
  <c r="H50" i="1" s="1"/>
  <c r="H114" i="1" s="1"/>
  <c r="D43" i="1"/>
  <c r="D50" i="1"/>
  <c r="F41" i="1"/>
  <c r="F42" i="1"/>
  <c r="L15" i="1"/>
  <c r="M15" i="1" s="1"/>
  <c r="E17" i="1"/>
  <c r="F17" i="1"/>
  <c r="G17" i="1"/>
  <c r="H17" i="1"/>
  <c r="D17" i="1"/>
  <c r="F106" i="1"/>
  <c r="K112" i="1"/>
  <c r="F101" i="1"/>
  <c r="H101" i="1" s="1"/>
  <c r="F102" i="1"/>
  <c r="H102" i="1" s="1"/>
  <c r="I102" i="1" s="1"/>
  <c r="L102" i="1" s="1"/>
  <c r="F103" i="1"/>
  <c r="F104" i="1"/>
  <c r="H104" i="1" s="1"/>
  <c r="I104" i="1" s="1"/>
  <c r="L104" i="1" s="1"/>
  <c r="F105" i="1"/>
  <c r="H105" i="1" s="1"/>
  <c r="I105" i="1" s="1"/>
  <c r="L105" i="1" s="1"/>
  <c r="F108" i="1"/>
  <c r="F109" i="1"/>
  <c r="F110" i="1"/>
  <c r="F111" i="1"/>
  <c r="F112" i="1"/>
  <c r="I107" i="1"/>
  <c r="L107" i="1" s="1"/>
  <c r="I108" i="1"/>
  <c r="L108" i="1" s="1"/>
  <c r="I109" i="1"/>
  <c r="L109" i="1" s="1"/>
  <c r="I110" i="1"/>
  <c r="L110" i="1" s="1"/>
  <c r="I111" i="1"/>
  <c r="L111" i="1" s="1"/>
  <c r="I112" i="1"/>
  <c r="H106" i="1"/>
  <c r="I106" i="1" s="1"/>
  <c r="L106" i="1" s="1"/>
  <c r="H103" i="1"/>
  <c r="I103" i="1" s="1"/>
  <c r="L103" i="1" s="1"/>
  <c r="D113" i="1"/>
  <c r="D114" i="1" s="1"/>
  <c r="G113" i="1"/>
  <c r="F11" i="1"/>
  <c r="L13" i="2" l="1"/>
  <c r="M13" i="2"/>
  <c r="L47" i="2"/>
  <c r="M47" i="2" s="1"/>
  <c r="G114" i="2"/>
  <c r="J43" i="2"/>
  <c r="L48" i="2"/>
  <c r="M48" i="2" s="1"/>
  <c r="M46" i="2"/>
  <c r="K104" i="2"/>
  <c r="M111" i="2"/>
  <c r="L11" i="2"/>
  <c r="M11" i="2"/>
  <c r="J48" i="2"/>
  <c r="J50" i="2" s="1"/>
  <c r="K48" i="2"/>
  <c r="K12" i="2"/>
  <c r="M12" i="2" s="1"/>
  <c r="L15" i="2"/>
  <c r="J22" i="2"/>
  <c r="K23" i="2"/>
  <c r="L23" i="2" s="1"/>
  <c r="M23" i="2" s="1"/>
  <c r="J29" i="2"/>
  <c r="J31" i="2"/>
  <c r="F50" i="2"/>
  <c r="L100" i="2"/>
  <c r="H101" i="2"/>
  <c r="H102" i="2"/>
  <c r="I102" i="2" s="1"/>
  <c r="H103" i="2"/>
  <c r="I103" i="2" s="1"/>
  <c r="K103" i="2" s="1"/>
  <c r="H104" i="2"/>
  <c r="I104" i="2" s="1"/>
  <c r="H105" i="2"/>
  <c r="I105" i="2" s="1"/>
  <c r="I106" i="2"/>
  <c r="K108" i="2"/>
  <c r="L109" i="2"/>
  <c r="M109" i="2" s="1"/>
  <c r="M110" i="2"/>
  <c r="J111" i="2"/>
  <c r="K16" i="2"/>
  <c r="J20" i="2"/>
  <c r="K22" i="2"/>
  <c r="K43" i="2" s="1"/>
  <c r="K31" i="2"/>
  <c r="L31" i="2" s="1"/>
  <c r="M31" i="2" s="1"/>
  <c r="J46" i="2"/>
  <c r="F106" i="2"/>
  <c r="J107" i="2"/>
  <c r="J110" i="2"/>
  <c r="L41" i="1"/>
  <c r="J29" i="1"/>
  <c r="I117" i="1"/>
  <c r="F107" i="1"/>
  <c r="J107" i="1" s="1"/>
  <c r="I101" i="1"/>
  <c r="L101" i="1" s="1"/>
  <c r="H113" i="1"/>
  <c r="J139" i="1"/>
  <c r="J112" i="1"/>
  <c r="A111" i="1"/>
  <c r="A110" i="1"/>
  <c r="K109" i="1"/>
  <c r="J109" i="1"/>
  <c r="A109" i="1"/>
  <c r="K108" i="1"/>
  <c r="J108" i="1"/>
  <c r="A108" i="1"/>
  <c r="A107" i="1"/>
  <c r="A106" i="1"/>
  <c r="K105" i="1"/>
  <c r="A105" i="1"/>
  <c r="K104" i="1"/>
  <c r="J104" i="1"/>
  <c r="A104" i="1"/>
  <c r="J103" i="1"/>
  <c r="A103" i="1"/>
  <c r="K102" i="1"/>
  <c r="A102" i="1"/>
  <c r="J101" i="1"/>
  <c r="A101" i="1"/>
  <c r="I100" i="1"/>
  <c r="L100" i="1" s="1"/>
  <c r="F100" i="1"/>
  <c r="A100" i="1"/>
  <c r="I93" i="1"/>
  <c r="I48" i="1"/>
  <c r="E48" i="1"/>
  <c r="F48" i="1" s="1"/>
  <c r="I47" i="1"/>
  <c r="F47" i="1"/>
  <c r="I46" i="1"/>
  <c r="F46" i="1"/>
  <c r="I42" i="1"/>
  <c r="K42" i="1"/>
  <c r="A42" i="1"/>
  <c r="K41" i="1"/>
  <c r="A41" i="1"/>
  <c r="F40" i="1"/>
  <c r="J40" i="1" s="1"/>
  <c r="A40" i="1"/>
  <c r="F37" i="1"/>
  <c r="J37" i="1" s="1"/>
  <c r="F36" i="1"/>
  <c r="A36" i="1"/>
  <c r="F35" i="1"/>
  <c r="A35" i="1"/>
  <c r="F33" i="1"/>
  <c r="A33" i="1"/>
  <c r="F32" i="1"/>
  <c r="A32" i="1"/>
  <c r="F31" i="1"/>
  <c r="A31" i="1"/>
  <c r="F30" i="1"/>
  <c r="A30" i="1"/>
  <c r="F29" i="1"/>
  <c r="A29" i="1"/>
  <c r="F28" i="1"/>
  <c r="A28" i="1"/>
  <c r="F27" i="1"/>
  <c r="A27" i="1"/>
  <c r="F26" i="1"/>
  <c r="A26" i="1"/>
  <c r="F25" i="1"/>
  <c r="A25" i="1"/>
  <c r="F24" i="1"/>
  <c r="A24" i="1"/>
  <c r="F23" i="1"/>
  <c r="A23" i="1"/>
  <c r="F22" i="1"/>
  <c r="F21" i="1"/>
  <c r="A21" i="1"/>
  <c r="I20" i="1"/>
  <c r="F20" i="1"/>
  <c r="A20" i="1"/>
  <c r="I16" i="1"/>
  <c r="E16" i="1"/>
  <c r="I15" i="1"/>
  <c r="I17" i="1" s="1"/>
  <c r="F15" i="1"/>
  <c r="I13" i="1"/>
  <c r="F13" i="1"/>
  <c r="I12" i="1"/>
  <c r="F12" i="1"/>
  <c r="I11" i="1"/>
  <c r="E2" i="1"/>
  <c r="E94" i="1" s="1"/>
  <c r="E1" i="1"/>
  <c r="E93" i="1" s="1"/>
  <c r="J105" i="2" l="1"/>
  <c r="I117" i="2"/>
  <c r="L105" i="2"/>
  <c r="M105" i="2" s="1"/>
  <c r="J104" i="2"/>
  <c r="L104" i="2"/>
  <c r="M104" i="2" s="1"/>
  <c r="M100" i="2"/>
  <c r="L22" i="2"/>
  <c r="H113" i="2"/>
  <c r="H114" i="2" s="1"/>
  <c r="I101" i="2"/>
  <c r="L12" i="2"/>
  <c r="M106" i="2"/>
  <c r="L16" i="2"/>
  <c r="M16" i="2"/>
  <c r="K17" i="2"/>
  <c r="K50" i="2" s="1"/>
  <c r="J103" i="2"/>
  <c r="L103" i="2"/>
  <c r="M103" i="2" s="1"/>
  <c r="K105" i="2"/>
  <c r="F113" i="2"/>
  <c r="F114" i="2" s="1"/>
  <c r="L106" i="2"/>
  <c r="J106" i="2"/>
  <c r="J102" i="2"/>
  <c r="K102" i="2"/>
  <c r="L102" i="2"/>
  <c r="M102" i="2" s="1"/>
  <c r="M15" i="2"/>
  <c r="M17" i="2" s="1"/>
  <c r="L17" i="2"/>
  <c r="J46" i="1"/>
  <c r="L42" i="1"/>
  <c r="F43" i="1"/>
  <c r="F50" i="1" s="1"/>
  <c r="K23" i="1"/>
  <c r="I43" i="1"/>
  <c r="K35" i="1"/>
  <c r="K11" i="1"/>
  <c r="M11" i="1" s="1"/>
  <c r="K12" i="1"/>
  <c r="M12" i="1" s="1"/>
  <c r="F16" i="1"/>
  <c r="K28" i="1"/>
  <c r="K100" i="1"/>
  <c r="K13" i="1"/>
  <c r="M13" i="1" s="1"/>
  <c r="L40" i="1"/>
  <c r="K46" i="1"/>
  <c r="L46" i="1" s="1"/>
  <c r="L48" i="1" s="1"/>
  <c r="J11" i="1"/>
  <c r="J12" i="1"/>
  <c r="J13" i="1"/>
  <c r="J15" i="1"/>
  <c r="K16" i="1"/>
  <c r="J20" i="1"/>
  <c r="J47" i="1"/>
  <c r="M47" i="1" s="1"/>
  <c r="K47" i="1"/>
  <c r="K101" i="1"/>
  <c r="J105" i="1"/>
  <c r="K103" i="1"/>
  <c r="I113" i="1"/>
  <c r="J106" i="1"/>
  <c r="K110" i="1"/>
  <c r="J48" i="1"/>
  <c r="K48" i="1"/>
  <c r="J102" i="1"/>
  <c r="J100" i="1"/>
  <c r="J101" i="2" l="1"/>
  <c r="L101" i="2"/>
  <c r="I113" i="2"/>
  <c r="K101" i="2"/>
  <c r="K113" i="2" s="1"/>
  <c r="K114" i="2" s="1"/>
  <c r="M22" i="2"/>
  <c r="M43" i="2" s="1"/>
  <c r="M50" i="2" s="1"/>
  <c r="L43" i="2"/>
  <c r="L50" i="2" s="1"/>
  <c r="M46" i="1"/>
  <c r="M48" i="1"/>
  <c r="I50" i="1"/>
  <c r="I114" i="1" s="1"/>
  <c r="J43" i="1"/>
  <c r="J50" i="1" s="1"/>
  <c r="J114" i="1" s="1"/>
  <c r="K43" i="1"/>
  <c r="M16" i="1"/>
  <c r="M17" i="1" s="1"/>
  <c r="L16" i="1"/>
  <c r="L17" i="1" s="1"/>
  <c r="K17" i="1"/>
  <c r="J17" i="1"/>
  <c r="L12" i="1"/>
  <c r="L11" i="1"/>
  <c r="L13" i="1"/>
  <c r="L113" i="1"/>
  <c r="J110" i="1"/>
  <c r="L114" i="2" l="1"/>
  <c r="M114" i="2"/>
  <c r="M101" i="2"/>
  <c r="M113" i="2" s="1"/>
  <c r="L113" i="2"/>
  <c r="J113" i="2"/>
  <c r="J114" i="2" s="1"/>
  <c r="I114" i="2"/>
  <c r="K50" i="1"/>
  <c r="L43" i="1"/>
  <c r="L50" i="1" s="1"/>
  <c r="L114" i="1" s="1"/>
  <c r="M50" i="1"/>
  <c r="E113" i="1"/>
  <c r="E114" i="1" s="1"/>
  <c r="J111" i="1" l="1"/>
  <c r="F113" i="1"/>
  <c r="F114" i="1" s="1"/>
  <c r="K113" i="1" l="1"/>
  <c r="K114" i="1" s="1"/>
  <c r="M113" i="1"/>
  <c r="M114" i="1" s="1"/>
</calcChain>
</file>

<file path=xl/sharedStrings.xml><?xml version="1.0" encoding="utf-8"?>
<sst xmlns="http://schemas.openxmlformats.org/spreadsheetml/2006/main" count="214" uniqueCount="75">
  <si>
    <t>BUDGET AND REQUISITION</t>
  </si>
  <si>
    <t>Borrower:</t>
  </si>
  <si>
    <t>Requisition #:</t>
  </si>
  <si>
    <t>SUMMARY</t>
  </si>
  <si>
    <t>Project Name:</t>
  </si>
  <si>
    <t>Date:</t>
  </si>
  <si>
    <t>Page 2 of 3</t>
  </si>
  <si>
    <t>Loan/Contract #:</t>
  </si>
  <si>
    <t>Closing</t>
  </si>
  <si>
    <t>Budget</t>
  </si>
  <si>
    <t>Revised</t>
  </si>
  <si>
    <t>Previous</t>
  </si>
  <si>
    <t>This</t>
  </si>
  <si>
    <t>Requested</t>
  </si>
  <si>
    <t>% Drawn</t>
  </si>
  <si>
    <t>Balance to</t>
  </si>
  <si>
    <t>Changes</t>
  </si>
  <si>
    <t>Requisitions</t>
  </si>
  <si>
    <t>Requisition</t>
  </si>
  <si>
    <t>to Date</t>
  </si>
  <si>
    <t>Complete</t>
  </si>
  <si>
    <t>Acquisition</t>
  </si>
  <si>
    <t>Land</t>
  </si>
  <si>
    <t>Buildings</t>
  </si>
  <si>
    <t>Total Acquisition Costs</t>
  </si>
  <si>
    <t>Construction</t>
  </si>
  <si>
    <t>Contingency</t>
  </si>
  <si>
    <t>Total Construction Costs</t>
  </si>
  <si>
    <t>Soft Costs</t>
  </si>
  <si>
    <t>Total Soft Cost</t>
  </si>
  <si>
    <t>Developer Fee</t>
  </si>
  <si>
    <t>Developer's Fee</t>
  </si>
  <si>
    <t>Developer's Overhead</t>
  </si>
  <si>
    <t>Total Developer Fee &amp; Overhead</t>
  </si>
  <si>
    <t>Total Uses</t>
  </si>
  <si>
    <t>ALLOCATION OF REQUISITION</t>
  </si>
  <si>
    <t>BY FUNDING SOURCE</t>
  </si>
  <si>
    <t>Page 3 of 3</t>
  </si>
  <si>
    <t>Sources</t>
  </si>
  <si>
    <t>All</t>
  </si>
  <si>
    <t>Operating Income</t>
  </si>
  <si>
    <t>The undersigned certifies to DHCD that the above information is true and correct.</t>
  </si>
  <si>
    <t>Print Name and Title</t>
  </si>
  <si>
    <t>Date</t>
  </si>
  <si>
    <t>FUNDING METHODOLOGY</t>
  </si>
  <si>
    <t>CHANGES TO PROJECT BUDGET OR FUNDING SOURCES</t>
  </si>
  <si>
    <t>How requisition costs are allocated among funding sources</t>
  </si>
  <si>
    <t>Funded by project surplus proceeds in borrower account.</t>
  </si>
  <si>
    <t>The budget included with this requisition:  (check one)</t>
  </si>
  <si>
    <t>____  Does not include any changes to the previously approved</t>
  </si>
  <si>
    <t xml:space="preserve">         project budget or funding sources.</t>
  </si>
  <si>
    <t>____ Includes proposed changes to the previously approved project</t>
  </si>
  <si>
    <t xml:space="preserve">        budget or funding sources.  Approval of these changes is</t>
  </si>
  <si>
    <t xml:space="preserve">        hereby requested.</t>
  </si>
  <si>
    <t>APPROVED:</t>
  </si>
  <si>
    <t>DHCD Project Manager</t>
  </si>
  <si>
    <t>DATE:</t>
  </si>
  <si>
    <t>TOTAL AMOUNT REQUESTED</t>
  </si>
  <si>
    <t>DISALLOWED COSTS (see attached Requisition Adjustment)</t>
  </si>
  <si>
    <t>TOTAL AMOUNT APPROVED</t>
  </si>
  <si>
    <t>Instructions</t>
  </si>
  <si>
    <t>1.  List each invoice on a separate line where there are multiple invoices</t>
  </si>
  <si>
    <t>     within the same category.</t>
  </si>
  <si>
    <t>MassDocs Program Manager</t>
  </si>
  <si>
    <t>2.  Arrange invoice documentation in the same order as listed above.</t>
  </si>
  <si>
    <t xml:space="preserve">Final Total </t>
  </si>
  <si>
    <t>Funded</t>
  </si>
  <si>
    <t>Final Variance</t>
  </si>
  <si>
    <t>From Budget</t>
  </si>
  <si>
    <t>Over (Under)</t>
  </si>
  <si>
    <t>Syndication Costs</t>
  </si>
  <si>
    <t>Owner's Rep</t>
  </si>
  <si>
    <t>Misc. Expense</t>
  </si>
  <si>
    <t>Landscaping Costs</t>
  </si>
  <si>
    <t>Development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</si>
</sst>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#,##0.00&quot; &quot;;&quot;(&quot;#,##0.00&quot;)&quot;"/>
    <numFmt numFmtId="165" formatCode="0&quot; &quot;;&quot;(&quot;0&quot;)&quot;"/>
    <numFmt numFmtId="166" formatCode="#,##0&quot; &quot;;&quot;(&quot;#,##0&quot;)&quot;"/>
    <numFmt numFmtId="167" formatCode="&quot; &quot;#,##0&quot; &quot;;&quot; (&quot;#,##0&quot;)&quot;;&quot; -&quot;00&quot; &quot;;&quot; &quot;@&quot; &quot;"/>
    <numFmt numFmtId="169" formatCode="_(* #,##0_);_(* \(#,##0\);_(* &quot;-&quot;??_);_(@_)"/>
    <numFmt numFmtId="177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Helv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00"/>
      <name val="Helv"/>
    </font>
    <font>
      <sz val="10"/>
      <color rgb="FF000000"/>
      <name val="Helv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164" fontId="3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14" fontId="0" fillId="0" borderId="1" xfId="0" applyNumberFormat="1" applyBorder="1"/>
    <xf numFmtId="165" fontId="3" fillId="0" borderId="0" xfId="0" applyNumberFormat="1" applyFont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7" fontId="6" fillId="0" borderId="5" xfId="1" applyNumberFormat="1" applyFont="1" applyBorder="1"/>
    <xf numFmtId="166" fontId="0" fillId="0" borderId="3" xfId="0" applyNumberFormat="1" applyBorder="1"/>
    <xf numFmtId="9" fontId="1" fillId="0" borderId="3" xfId="2" applyBorder="1"/>
    <xf numFmtId="167" fontId="7" fillId="0" borderId="5" xfId="1" applyNumberFormat="1" applyFont="1" applyBorder="1"/>
    <xf numFmtId="166" fontId="0" fillId="0" borderId="6" xfId="0" applyNumberFormat="1" applyBorder="1"/>
    <xf numFmtId="166" fontId="0" fillId="0" borderId="7" xfId="0" applyNumberFormat="1" applyBorder="1"/>
    <xf numFmtId="9" fontId="1" fillId="0" borderId="6" xfId="2" applyBorder="1"/>
    <xf numFmtId="167" fontId="1" fillId="0" borderId="3" xfId="1" applyNumberFormat="1" applyBorder="1"/>
    <xf numFmtId="9" fontId="1" fillId="0" borderId="7" xfId="2" applyBorder="1"/>
    <xf numFmtId="167" fontId="1" fillId="0" borderId="0" xfId="1" applyNumberFormat="1"/>
    <xf numFmtId="167" fontId="0" fillId="0" borderId="0" xfId="0" applyNumberFormat="1"/>
    <xf numFmtId="167" fontId="3" fillId="0" borderId="0" xfId="0" applyNumberFormat="1" applyFont="1"/>
    <xf numFmtId="166" fontId="0" fillId="0" borderId="8" xfId="0" applyNumberFormat="1" applyBorder="1"/>
    <xf numFmtId="166" fontId="0" fillId="0" borderId="0" xfId="0" applyNumberFormat="1"/>
    <xf numFmtId="9" fontId="1" fillId="0" borderId="0" xfId="2"/>
    <xf numFmtId="9" fontId="1" fillId="0" borderId="1" xfId="2" applyBorder="1"/>
    <xf numFmtId="9" fontId="3" fillId="0" borderId="2" xfId="2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0" xfId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9" fillId="0" borderId="13" xfId="0" applyFont="1" applyBorder="1"/>
    <xf numFmtId="0" fontId="0" fillId="0" borderId="16" xfId="0" applyBorder="1"/>
    <xf numFmtId="0" fontId="0" fillId="0" borderId="17" xfId="0" applyBorder="1"/>
    <xf numFmtId="0" fontId="10" fillId="0" borderId="0" xfId="0" applyFont="1"/>
    <xf numFmtId="0" fontId="11" fillId="0" borderId="0" xfId="0" applyFont="1"/>
    <xf numFmtId="164" fontId="11" fillId="0" borderId="18" xfId="0" applyNumberFormat="1" applyFont="1" applyBorder="1" applyAlignment="1">
      <alignment horizontal="right"/>
    </xf>
    <xf numFmtId="0" fontId="11" fillId="0" borderId="18" xfId="0" applyFont="1" applyBorder="1"/>
    <xf numFmtId="0" fontId="10" fillId="0" borderId="19" xfId="0" applyFont="1" applyBorder="1"/>
    <xf numFmtId="0" fontId="11" fillId="0" borderId="5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0" xfId="0" applyFont="1" applyAlignment="1">
      <alignment horizontal="right"/>
    </xf>
    <xf numFmtId="0" fontId="11" fillId="0" borderId="22" xfId="0" applyFont="1" applyBorder="1"/>
    <xf numFmtId="0" fontId="11" fillId="0" borderId="23" xfId="0" applyFont="1" applyBorder="1"/>
    <xf numFmtId="0" fontId="12" fillId="2" borderId="19" xfId="0" applyFont="1" applyFill="1" applyBorder="1" applyAlignment="1">
      <alignment wrapText="1"/>
    </xf>
    <xf numFmtId="0" fontId="12" fillId="2" borderId="24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169" fontId="0" fillId="0" borderId="3" xfId="1" applyNumberFormat="1" applyFont="1" applyFill="1" applyBorder="1"/>
    <xf numFmtId="169" fontId="0" fillId="0" borderId="8" xfId="1" applyNumberFormat="1" applyFont="1" applyFill="1" applyBorder="1"/>
    <xf numFmtId="167" fontId="1" fillId="0" borderId="6" xfId="1" applyNumberFormat="1" applyBorder="1"/>
    <xf numFmtId="166" fontId="0" fillId="0" borderId="25" xfId="0" applyNumberFormat="1" applyBorder="1"/>
    <xf numFmtId="169" fontId="0" fillId="0" borderId="0" xfId="1" applyNumberFormat="1" applyFont="1" applyFill="1" applyAlignment="1" applyProtection="1">
      <alignment horizontal="right"/>
    </xf>
    <xf numFmtId="169" fontId="0" fillId="0" borderId="0" xfId="1" applyNumberFormat="1" applyFont="1" applyFill="1"/>
    <xf numFmtId="169" fontId="3" fillId="0" borderId="2" xfId="1" applyNumberFormat="1" applyFont="1" applyFill="1" applyBorder="1" applyAlignment="1">
      <alignment horizontal="center"/>
    </xf>
    <xf numFmtId="169" fontId="3" fillId="0" borderId="3" xfId="1" applyNumberFormat="1" applyFont="1" applyFill="1" applyBorder="1" applyAlignment="1">
      <alignment horizontal="center"/>
    </xf>
    <xf numFmtId="169" fontId="3" fillId="0" borderId="4" xfId="1" applyNumberFormat="1" applyFont="1" applyFill="1" applyBorder="1" applyAlignment="1">
      <alignment horizontal="center"/>
    </xf>
    <xf numFmtId="169" fontId="5" fillId="0" borderId="3" xfId="1" applyNumberFormat="1" applyFont="1" applyFill="1" applyBorder="1" applyAlignment="1">
      <alignment horizontal="center"/>
    </xf>
    <xf numFmtId="169" fontId="0" fillId="0" borderId="2" xfId="1" applyNumberFormat="1" applyFont="1" applyFill="1" applyBorder="1"/>
    <xf numFmtId="169" fontId="0" fillId="0" borderId="7" xfId="1" applyNumberFormat="1" applyFont="1" applyFill="1" applyBorder="1"/>
    <xf numFmtId="169" fontId="0" fillId="0" borderId="1" xfId="1" applyNumberFormat="1" applyFont="1" applyFill="1" applyBorder="1"/>
    <xf numFmtId="169" fontId="2" fillId="0" borderId="10" xfId="1" applyNumberFormat="1" applyFont="1" applyFill="1" applyBorder="1" applyAlignment="1">
      <alignment horizontal="left"/>
    </xf>
    <xf numFmtId="169" fontId="0" fillId="0" borderId="0" xfId="1" applyNumberFormat="1" applyFont="1" applyFill="1" applyAlignment="1">
      <alignment horizontal="center"/>
    </xf>
    <xf numFmtId="169" fontId="0" fillId="0" borderId="14" xfId="1" applyNumberFormat="1" applyFont="1" applyFill="1" applyBorder="1" applyAlignment="1" applyProtection="1">
      <alignment horizontal="left"/>
    </xf>
    <xf numFmtId="169" fontId="11" fillId="0" borderId="0" xfId="1" applyNumberFormat="1" applyFont="1" applyFill="1"/>
    <xf numFmtId="169" fontId="11" fillId="0" borderId="20" xfId="1" applyNumberFormat="1" applyFont="1" applyFill="1" applyBorder="1"/>
    <xf numFmtId="169" fontId="12" fillId="0" borderId="19" xfId="1" applyNumberFormat="1" applyFont="1" applyFill="1" applyBorder="1" applyAlignment="1">
      <alignment wrapText="1"/>
    </xf>
    <xf numFmtId="9" fontId="0" fillId="0" borderId="3" xfId="2" applyFont="1" applyBorder="1"/>
    <xf numFmtId="9" fontId="0" fillId="0" borderId="8" xfId="2" applyFont="1" applyBorder="1"/>
    <xf numFmtId="169" fontId="0" fillId="0" borderId="6" xfId="1" applyNumberFormat="1" applyFont="1" applyFill="1" applyBorder="1"/>
    <xf numFmtId="166" fontId="0" fillId="0" borderId="26" xfId="0" applyNumberFormat="1" applyBorder="1"/>
    <xf numFmtId="41" fontId="0" fillId="0" borderId="26" xfId="0" applyNumberFormat="1" applyBorder="1"/>
    <xf numFmtId="9" fontId="0" fillId="0" borderId="26" xfId="2" applyFont="1" applyBorder="1"/>
    <xf numFmtId="9" fontId="1" fillId="0" borderId="25" xfId="2" applyBorder="1"/>
    <xf numFmtId="169" fontId="0" fillId="0" borderId="25" xfId="1" applyNumberFormat="1" applyFont="1" applyFill="1" applyBorder="1"/>
    <xf numFmtId="1" fontId="3" fillId="0" borderId="1" xfId="0" applyNumberFormat="1" applyFont="1" applyFill="1" applyBorder="1"/>
    <xf numFmtId="14" fontId="0" fillId="0" borderId="1" xfId="0" applyNumberFormat="1" applyFill="1" applyBorder="1"/>
    <xf numFmtId="0" fontId="0" fillId="0" borderId="0" xfId="0" applyFill="1"/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0" fillId="0" borderId="3" xfId="0" applyNumberFormat="1" applyFill="1" applyBorder="1"/>
    <xf numFmtId="166" fontId="0" fillId="0" borderId="7" xfId="0" applyNumberFormat="1" applyFill="1" applyBorder="1"/>
    <xf numFmtId="41" fontId="0" fillId="0" borderId="26" xfId="0" applyNumberFormat="1" applyFill="1" applyBorder="1"/>
    <xf numFmtId="166" fontId="0" fillId="0" borderId="25" xfId="0" applyNumberFormat="1" applyFill="1" applyBorder="1"/>
    <xf numFmtId="166" fontId="0" fillId="0" borderId="8" xfId="0" applyNumberFormat="1" applyFill="1" applyBorder="1"/>
    <xf numFmtId="166" fontId="0" fillId="0" borderId="0" xfId="0" applyNumberFormat="1" applyFill="1"/>
    <xf numFmtId="164" fontId="0" fillId="0" borderId="0" xfId="0" applyNumberFormat="1" applyFill="1"/>
    <xf numFmtId="165" fontId="0" fillId="0" borderId="1" xfId="0" applyNumberFormat="1" applyFill="1" applyBorder="1"/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4" xfId="0" applyFill="1" applyBorder="1"/>
    <xf numFmtId="0" fontId="0" fillId="0" borderId="1" xfId="0" applyFill="1" applyBorder="1"/>
    <xf numFmtId="0" fontId="11" fillId="0" borderId="0" xfId="0" applyFont="1" applyFill="1"/>
    <xf numFmtId="0" fontId="11" fillId="0" borderId="20" xfId="0" applyFont="1" applyFill="1" applyBorder="1"/>
    <xf numFmtId="0" fontId="12" fillId="0" borderId="19" xfId="0" applyFont="1" applyFill="1" applyBorder="1" applyAlignment="1">
      <alignment wrapText="1"/>
    </xf>
    <xf numFmtId="177" fontId="0" fillId="0" borderId="8" xfId="2" applyNumberFormat="1" applyFont="1" applyBorder="1"/>
    <xf numFmtId="41" fontId="0" fillId="0" borderId="3" xfId="0" applyNumberFormat="1" applyBorder="1"/>
    <xf numFmtId="41" fontId="0" fillId="0" borderId="8" xfId="0" applyNumberFormat="1" applyBorder="1"/>
    <xf numFmtId="41" fontId="0" fillId="0" borderId="27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th.local\NS_Users\Users\ghlacroix\My%20Documents\Strength%20Matters\FINAL\Module%205\Restoration%20Housing%20LP%20-%20Funder's%20Requis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_Requisitions"/>
      <sheetName val="Current_Month_Requisition"/>
      <sheetName val="REQFORM_16"/>
      <sheetName val="REQFORM_15"/>
      <sheetName val="REQFORM_14"/>
      <sheetName val="REQFORM_13"/>
      <sheetName val="REQFORM_12"/>
      <sheetName val="REQFORM_11"/>
      <sheetName val="REQFORM_10"/>
      <sheetName val="REQFORM_9"/>
      <sheetName val="REQFORM_8"/>
      <sheetName val="REQFORM_7"/>
      <sheetName val="REQFORM_6"/>
      <sheetName val="REQFORM_5"/>
      <sheetName val="REQFORM_4"/>
      <sheetName val="REQFORM_3"/>
      <sheetName val="REQFORM_2"/>
      <sheetName val="REQFORM_1"/>
      <sheetName val="Summary"/>
      <sheetName val="Closing_Estimates"/>
      <sheetName val="2013_+_2014"/>
      <sheetName val="2015"/>
      <sheetName val="Old_Bills"/>
      <sheetName val="Sheet1"/>
    </sheetNames>
    <sheetDataSet>
      <sheetData sheetId="0">
        <row r="18">
          <cell r="A18" t="str">
            <v>A/E</v>
          </cell>
        </row>
        <row r="19">
          <cell r="A19" t="str">
            <v>Surveys &amp; Permits</v>
          </cell>
        </row>
        <row r="21">
          <cell r="A21" t="str">
            <v>FFE</v>
          </cell>
        </row>
        <row r="22">
          <cell r="A22" t="str">
            <v>Geotech/Environmental</v>
          </cell>
        </row>
        <row r="23">
          <cell r="A23" t="str">
            <v>Accounting and Cost Cert</v>
          </cell>
        </row>
        <row r="24">
          <cell r="A24" t="str">
            <v>Construction Loan Interest</v>
          </cell>
        </row>
        <row r="25">
          <cell r="A25" t="str">
            <v>Financing Fees</v>
          </cell>
        </row>
        <row r="26">
          <cell r="A26" t="str">
            <v>Bond Fees</v>
          </cell>
        </row>
        <row r="27">
          <cell r="A27" t="str">
            <v>LIHTC Fees</v>
          </cell>
        </row>
        <row r="28">
          <cell r="A28" t="str">
            <v>Appraisals</v>
          </cell>
        </row>
        <row r="29">
          <cell r="A29" t="str">
            <v>Inspecting Engineer</v>
          </cell>
        </row>
        <row r="30">
          <cell r="A30" t="str">
            <v>Title &amp; Recording</v>
          </cell>
        </row>
        <row r="31">
          <cell r="A31" t="str">
            <v>Legal</v>
          </cell>
        </row>
        <row r="32">
          <cell r="A32" t="str">
            <v>Insurance</v>
          </cell>
        </row>
        <row r="33">
          <cell r="A33" t="str">
            <v>Relocation</v>
          </cell>
        </row>
        <row r="35">
          <cell r="A35" t="str">
            <v>Capitalized Reserves</v>
          </cell>
        </row>
        <row r="36">
          <cell r="A36" t="str">
            <v>Replacement Reserve</v>
          </cell>
        </row>
        <row r="37">
          <cell r="A37" t="str">
            <v xml:space="preserve">Soft Cost Contingency </v>
          </cell>
        </row>
        <row r="50">
          <cell r="A50" t="str">
            <v>Bond Proceeds</v>
          </cell>
        </row>
        <row r="51">
          <cell r="A51" t="str">
            <v>Repayment of Bond</v>
          </cell>
        </row>
        <row r="52">
          <cell r="A52" t="str">
            <v>Sponsor Bridge Loan</v>
          </cell>
        </row>
        <row r="53">
          <cell r="A53" t="str">
            <v>Repayment of Sponsor Bridge Loan</v>
          </cell>
        </row>
        <row r="54">
          <cell r="A54" t="str">
            <v>Permanent Loan</v>
          </cell>
        </row>
        <row r="55">
          <cell r="A55" t="str">
            <v>4% Tax Credit Equity</v>
          </cell>
        </row>
        <row r="56">
          <cell r="A56" t="str">
            <v>Fed HTC Equity</v>
          </cell>
        </row>
        <row r="57">
          <cell r="A57" t="str">
            <v>State HTC Equity</v>
          </cell>
        </row>
        <row r="58">
          <cell r="A58" t="str">
            <v>RTH Sponsor Note</v>
          </cell>
        </row>
        <row r="59">
          <cell r="A59" t="str">
            <v>4% Legal Contribution</v>
          </cell>
        </row>
        <row r="60">
          <cell r="A60" t="str">
            <v>Replacement Reserve Loan</v>
          </cell>
        </row>
        <row r="61">
          <cell r="A61" t="str">
            <v>Deferred Fee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E1" t="str">
            <v>RTH Restoration Housing L.P.</v>
          </cell>
        </row>
        <row r="2">
          <cell r="E2" t="str">
            <v>RTH Restoration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66B08-33BE-4032-B043-57C7BD8A90D2}">
  <dimension ref="A1:R149"/>
  <sheetViews>
    <sheetView tabSelected="1" workbookViewId="0">
      <selection activeCell="A27" sqref="A1:XFD1048576"/>
    </sheetView>
  </sheetViews>
  <sheetFormatPr defaultColWidth="13.7109375" defaultRowHeight="15" x14ac:dyDescent="0.25"/>
  <cols>
    <col min="1" max="1" width="18.42578125" style="3" customWidth="1"/>
    <col min="2" max="2" width="13.7109375" style="3"/>
    <col min="3" max="3" width="19.28515625" style="3" customWidth="1"/>
    <col min="4" max="4" width="16.28515625" style="3" bestFit="1" customWidth="1"/>
    <col min="5" max="5" width="14.7109375" style="3" bestFit="1" customWidth="1"/>
    <col min="6" max="7" width="16.28515625" style="3" bestFit="1" customWidth="1"/>
    <col min="8" max="8" width="17.7109375" style="70" customWidth="1"/>
    <col min="9" max="9" width="16.28515625" style="105" bestFit="1" customWidth="1"/>
    <col min="10" max="10" width="14.28515625" style="3" bestFit="1" customWidth="1"/>
    <col min="11" max="13" width="18.85546875" style="3" customWidth="1"/>
    <col min="14" max="14" width="15.140625" style="3" customWidth="1"/>
    <col min="15" max="15" width="13.85546875" style="3" bestFit="1" customWidth="1"/>
    <col min="16" max="16" width="16.28515625" style="3" customWidth="1"/>
    <col min="17" max="16384" width="13.7109375" style="3"/>
  </cols>
  <sheetData>
    <row r="1" spans="1:13" ht="15.75" x14ac:dyDescent="0.25">
      <c r="A1" s="1" t="s">
        <v>0</v>
      </c>
      <c r="B1" s="2"/>
      <c r="D1" s="4" t="s">
        <v>1</v>
      </c>
      <c r="E1" s="5" t="str">
        <f>[1]REQFORM_2!E1</f>
        <v>RTH Restoration Housing L.P.</v>
      </c>
      <c r="F1" s="5"/>
      <c r="G1" s="5"/>
      <c r="H1" s="69" t="s">
        <v>2</v>
      </c>
      <c r="I1" s="92">
        <v>16</v>
      </c>
      <c r="J1" s="5"/>
    </row>
    <row r="2" spans="1:13" ht="15.75" x14ac:dyDescent="0.25">
      <c r="A2" s="1" t="s">
        <v>3</v>
      </c>
      <c r="D2" s="4" t="s">
        <v>4</v>
      </c>
      <c r="E2" s="5" t="str">
        <f>[1]REQFORM_2!E2</f>
        <v>RTH Restoration</v>
      </c>
      <c r="F2" s="5"/>
      <c r="G2" s="5"/>
      <c r="H2" s="69" t="s">
        <v>5</v>
      </c>
      <c r="I2" s="93">
        <v>42735</v>
      </c>
      <c r="J2" s="5"/>
    </row>
    <row r="3" spans="1:13" x14ac:dyDescent="0.25">
      <c r="A3" s="4" t="s">
        <v>6</v>
      </c>
      <c r="B3" s="7"/>
      <c r="D3" s="4" t="s">
        <v>7</v>
      </c>
      <c r="E3" s="5"/>
      <c r="F3" s="5"/>
      <c r="G3" s="5"/>
      <c r="I3" s="94"/>
      <c r="J3"/>
    </row>
    <row r="4" spans="1:13" x14ac:dyDescent="0.25">
      <c r="A4" s="2"/>
      <c r="B4" s="7"/>
      <c r="D4"/>
      <c r="E4"/>
      <c r="F4"/>
      <c r="G4"/>
      <c r="I4" s="94"/>
      <c r="J4"/>
    </row>
    <row r="5" spans="1:13" ht="3" customHeight="1" x14ac:dyDescent="0.25">
      <c r="D5" s="8"/>
      <c r="E5" s="8"/>
      <c r="F5" s="8"/>
      <c r="G5" s="8"/>
      <c r="H5" s="71"/>
      <c r="I5" s="95"/>
      <c r="J5" s="8"/>
      <c r="K5" s="8"/>
      <c r="L5" s="8"/>
      <c r="M5" s="8"/>
    </row>
    <row r="6" spans="1:13" x14ac:dyDescent="0.25">
      <c r="D6" s="9"/>
      <c r="E6" s="9"/>
      <c r="F6" s="9"/>
      <c r="G6" s="9"/>
      <c r="H6" s="72"/>
      <c r="I6" s="96"/>
      <c r="J6" s="9"/>
      <c r="K6" s="9"/>
      <c r="L6" s="8"/>
      <c r="M6" s="8" t="s">
        <v>67</v>
      </c>
    </row>
    <row r="7" spans="1:13" x14ac:dyDescent="0.25">
      <c r="D7" s="9" t="s">
        <v>8</v>
      </c>
      <c r="E7" s="9" t="s">
        <v>9</v>
      </c>
      <c r="F7" s="9" t="s">
        <v>10</v>
      </c>
      <c r="G7" s="9" t="s">
        <v>11</v>
      </c>
      <c r="H7" s="72" t="s">
        <v>12</v>
      </c>
      <c r="I7" s="96" t="s">
        <v>13</v>
      </c>
      <c r="J7" s="9" t="s">
        <v>14</v>
      </c>
      <c r="K7" s="9" t="s">
        <v>15</v>
      </c>
      <c r="L7" s="9" t="s">
        <v>65</v>
      </c>
      <c r="M7" s="9" t="s">
        <v>68</v>
      </c>
    </row>
    <row r="8" spans="1:13" ht="15.75" thickBot="1" x14ac:dyDescent="0.3">
      <c r="D8" s="10" t="s">
        <v>9</v>
      </c>
      <c r="E8" s="10" t="s">
        <v>16</v>
      </c>
      <c r="F8" s="10" t="s">
        <v>9</v>
      </c>
      <c r="G8" s="10" t="s">
        <v>17</v>
      </c>
      <c r="H8" s="73" t="s">
        <v>18</v>
      </c>
      <c r="I8" s="97" t="s">
        <v>19</v>
      </c>
      <c r="J8" s="10" t="s">
        <v>19</v>
      </c>
      <c r="K8" s="10" t="s">
        <v>20</v>
      </c>
      <c r="L8" s="10" t="s">
        <v>66</v>
      </c>
      <c r="M8" s="10" t="s">
        <v>69</v>
      </c>
    </row>
    <row r="9" spans="1:13" x14ac:dyDescent="0.25">
      <c r="A9" s="12" t="s">
        <v>21</v>
      </c>
      <c r="D9" s="11"/>
      <c r="E9" s="11"/>
      <c r="F9" s="11"/>
      <c r="G9" s="11"/>
      <c r="H9" s="74"/>
      <c r="I9" s="98"/>
      <c r="J9" s="11"/>
      <c r="K9" s="11"/>
      <c r="L9" s="13"/>
      <c r="M9" s="13"/>
    </row>
    <row r="10" spans="1:13" x14ac:dyDescent="0.25">
      <c r="A10" s="15" t="s">
        <v>22</v>
      </c>
      <c r="D10" s="13"/>
      <c r="E10" s="13"/>
      <c r="F10" s="13"/>
      <c r="G10" s="13"/>
      <c r="H10" s="65"/>
      <c r="I10" s="99"/>
      <c r="J10" s="14"/>
      <c r="K10" s="13"/>
      <c r="L10" s="13"/>
      <c r="M10" s="13"/>
    </row>
    <row r="11" spans="1:13" x14ac:dyDescent="0.25">
      <c r="A11" s="15" t="s">
        <v>23</v>
      </c>
      <c r="D11" s="13">
        <v>3250000</v>
      </c>
      <c r="E11" s="13"/>
      <c r="F11" s="13">
        <f>+D11+E11</f>
        <v>3250000</v>
      </c>
      <c r="G11" s="13">
        <v>3250000</v>
      </c>
      <c r="H11" s="65">
        <v>0</v>
      </c>
      <c r="I11" s="99">
        <f>+G11+H11</f>
        <v>3250000</v>
      </c>
      <c r="J11" s="14">
        <f>I11/F11</f>
        <v>1</v>
      </c>
      <c r="K11" s="65">
        <f>F11-I11</f>
        <v>0</v>
      </c>
      <c r="L11" s="13">
        <f>I11+K11</f>
        <v>3250000</v>
      </c>
      <c r="M11" s="65">
        <f>H11-K11</f>
        <v>0</v>
      </c>
    </row>
    <row r="12" spans="1:13" x14ac:dyDescent="0.25">
      <c r="A12" s="12" t="s">
        <v>24</v>
      </c>
      <c r="D12" s="16">
        <v>11650000</v>
      </c>
      <c r="E12" s="17"/>
      <c r="F12" s="17">
        <f>+D12+E12</f>
        <v>11650000</v>
      </c>
      <c r="G12" s="17">
        <v>11650000</v>
      </c>
      <c r="H12" s="65">
        <v>0</v>
      </c>
      <c r="I12" s="100">
        <f>+G12+H12</f>
        <v>11650000</v>
      </c>
      <c r="J12" s="18">
        <f t="shared" ref="J12:J13" si="0">I12/F12</f>
        <v>1</v>
      </c>
      <c r="K12" s="65">
        <f t="shared" ref="K12:K13" si="1">F12-I12</f>
        <v>0</v>
      </c>
      <c r="L12" s="13">
        <f t="shared" ref="L12:L13" si="2">I12+K12</f>
        <v>11650000</v>
      </c>
      <c r="M12" s="65">
        <f>H12-K12</f>
        <v>0</v>
      </c>
    </row>
    <row r="13" spans="1:13" x14ac:dyDescent="0.25">
      <c r="A13" s="15"/>
      <c r="D13" s="13">
        <v>14900000</v>
      </c>
      <c r="E13" s="13"/>
      <c r="F13" s="13">
        <f>+D13+E13</f>
        <v>14900000</v>
      </c>
      <c r="G13" s="13">
        <v>14900000</v>
      </c>
      <c r="H13" s="75">
        <v>0</v>
      </c>
      <c r="I13" s="99">
        <f>+G13+H13</f>
        <v>14900000</v>
      </c>
      <c r="J13" s="14">
        <f t="shared" si="0"/>
        <v>1</v>
      </c>
      <c r="K13" s="91">
        <f t="shared" si="1"/>
        <v>0</v>
      </c>
      <c r="L13" s="68">
        <f t="shared" si="2"/>
        <v>14900000</v>
      </c>
      <c r="M13" s="91">
        <f>H13-K13</f>
        <v>0</v>
      </c>
    </row>
    <row r="14" spans="1:13" x14ac:dyDescent="0.25">
      <c r="A14" s="12" t="s">
        <v>25</v>
      </c>
      <c r="D14" s="13"/>
      <c r="E14" s="13"/>
      <c r="F14" s="13"/>
      <c r="G14" s="13"/>
      <c r="H14" s="65"/>
      <c r="I14" s="99"/>
      <c r="J14" s="14"/>
      <c r="K14" s="65"/>
      <c r="L14" s="13"/>
      <c r="M14" s="65"/>
    </row>
    <row r="15" spans="1:13" x14ac:dyDescent="0.25">
      <c r="A15" s="15" t="s">
        <v>25</v>
      </c>
      <c r="D15" s="19">
        <v>9732954</v>
      </c>
      <c r="E15" s="13">
        <v>851273</v>
      </c>
      <c r="F15" s="13">
        <f>+D15+E15</f>
        <v>10584227</v>
      </c>
      <c r="G15" s="13">
        <v>10350977</v>
      </c>
      <c r="H15" s="65">
        <v>233250</v>
      </c>
      <c r="I15" s="99">
        <f>+G15+H15</f>
        <v>10584227</v>
      </c>
      <c r="J15" s="14">
        <f>I15/F15</f>
        <v>1</v>
      </c>
      <c r="K15" s="65">
        <v>0</v>
      </c>
      <c r="L15" s="13">
        <f>I15+K15</f>
        <v>10584227</v>
      </c>
      <c r="M15" s="65">
        <f>L15-F15</f>
        <v>0</v>
      </c>
    </row>
    <row r="16" spans="1:13" x14ac:dyDescent="0.25">
      <c r="A16" s="15" t="s">
        <v>26</v>
      </c>
      <c r="D16" s="67">
        <v>973295.4</v>
      </c>
      <c r="E16" s="17">
        <f>-D16</f>
        <v>-973295.4</v>
      </c>
      <c r="F16" s="86">
        <f>+D16+E16</f>
        <v>0</v>
      </c>
      <c r="G16" s="86">
        <v>0</v>
      </c>
      <c r="H16" s="65">
        <v>0</v>
      </c>
      <c r="I16" s="86">
        <f>+G16+H16</f>
        <v>0</v>
      </c>
      <c r="J16" s="20">
        <v>0</v>
      </c>
      <c r="K16" s="65">
        <f t="shared" ref="K16" si="3">F16-I16</f>
        <v>0</v>
      </c>
      <c r="L16" s="86">
        <f>I16+K16</f>
        <v>0</v>
      </c>
      <c r="M16" s="65">
        <f>H16-K16</f>
        <v>0</v>
      </c>
    </row>
    <row r="17" spans="1:14" x14ac:dyDescent="0.25">
      <c r="A17" s="12" t="s">
        <v>27</v>
      </c>
      <c r="D17" s="13">
        <f>SUM(D15:D16)</f>
        <v>10706249.4</v>
      </c>
      <c r="E17" s="13">
        <f t="shared" ref="E17:M17" si="4">SUM(E15:E16)</f>
        <v>-122022.40000000002</v>
      </c>
      <c r="F17" s="13">
        <f t="shared" si="4"/>
        <v>10584227</v>
      </c>
      <c r="G17" s="13">
        <f t="shared" si="4"/>
        <v>10350977</v>
      </c>
      <c r="H17" s="68">
        <f t="shared" si="4"/>
        <v>233250</v>
      </c>
      <c r="I17" s="99">
        <f t="shared" si="4"/>
        <v>10584227</v>
      </c>
      <c r="J17" s="84">
        <f t="shared" si="4"/>
        <v>1</v>
      </c>
      <c r="K17" s="91">
        <f t="shared" si="4"/>
        <v>0</v>
      </c>
      <c r="L17" s="68">
        <f t="shared" si="4"/>
        <v>10584227</v>
      </c>
      <c r="M17" s="91">
        <f t="shared" si="4"/>
        <v>0</v>
      </c>
    </row>
    <row r="18" spans="1:14" x14ac:dyDescent="0.25">
      <c r="A18" s="15"/>
      <c r="D18" s="13"/>
      <c r="E18" s="13"/>
      <c r="F18" s="13"/>
      <c r="G18" s="13"/>
      <c r="H18" s="65"/>
      <c r="I18" s="99"/>
      <c r="J18" s="14"/>
      <c r="K18" s="13"/>
      <c r="L18" s="13"/>
      <c r="M18" s="13"/>
    </row>
    <row r="19" spans="1:14" x14ac:dyDescent="0.25">
      <c r="A19" s="12" t="s">
        <v>28</v>
      </c>
      <c r="D19" s="13"/>
      <c r="E19" s="13"/>
      <c r="F19" s="13"/>
      <c r="G19" s="13"/>
      <c r="H19" s="65"/>
      <c r="I19" s="99"/>
      <c r="J19" s="14"/>
      <c r="K19" s="13"/>
      <c r="L19" s="13"/>
      <c r="M19" s="13"/>
    </row>
    <row r="20" spans="1:14" x14ac:dyDescent="0.25">
      <c r="A20" s="15" t="str">
        <f>[1]Monthly_Requisitions!A18</f>
        <v>A/E</v>
      </c>
      <c r="D20" s="13">
        <v>493150</v>
      </c>
      <c r="E20" s="13">
        <v>261704</v>
      </c>
      <c r="F20" s="13">
        <f t="shared" ref="F20:F42" si="5">+D20+E20</f>
        <v>754854</v>
      </c>
      <c r="G20" s="13">
        <v>739811</v>
      </c>
      <c r="H20" s="65"/>
      <c r="I20" s="99">
        <f t="shared" ref="I20:I42" si="6">+G20+H20</f>
        <v>739811</v>
      </c>
      <c r="J20" s="14">
        <f t="shared" ref="J20:J48" si="7">I20/F20</f>
        <v>0.98007164299321459</v>
      </c>
      <c r="K20" s="13"/>
      <c r="L20" s="13">
        <f>I20+K20</f>
        <v>739811</v>
      </c>
      <c r="M20" s="13">
        <f>L20-F20</f>
        <v>-15043</v>
      </c>
      <c r="N20" s="21"/>
    </row>
    <row r="21" spans="1:14" x14ac:dyDescent="0.25">
      <c r="A21" s="15" t="str">
        <f>[1]Monthly_Requisitions!A19</f>
        <v>Surveys &amp; Permits</v>
      </c>
      <c r="D21" s="13">
        <v>40650</v>
      </c>
      <c r="E21" s="13">
        <v>-10000</v>
      </c>
      <c r="F21" s="13">
        <f t="shared" si="5"/>
        <v>30650</v>
      </c>
      <c r="G21" s="13">
        <v>28485.279999999999</v>
      </c>
      <c r="H21" s="65">
        <v>7200</v>
      </c>
      <c r="I21" s="99">
        <f t="shared" si="6"/>
        <v>35685.279999999999</v>
      </c>
      <c r="J21" s="14">
        <f t="shared" si="7"/>
        <v>1.1642831973898857</v>
      </c>
      <c r="K21" s="13"/>
      <c r="L21" s="13">
        <f t="shared" ref="L21:L42" si="8">I21+K21</f>
        <v>35685.279999999999</v>
      </c>
      <c r="M21" s="13">
        <f t="shared" ref="M21:M42" si="9">L21-F21</f>
        <v>5035.2799999999988</v>
      </c>
      <c r="N21" s="21"/>
    </row>
    <row r="22" spans="1:14" x14ac:dyDescent="0.25">
      <c r="A22" s="15" t="s">
        <v>71</v>
      </c>
      <c r="D22" s="13">
        <v>64000</v>
      </c>
      <c r="E22" s="13">
        <v>36340</v>
      </c>
      <c r="F22" s="13">
        <f t="shared" si="5"/>
        <v>100340</v>
      </c>
      <c r="G22" s="13">
        <v>87327</v>
      </c>
      <c r="H22" s="65">
        <v>945</v>
      </c>
      <c r="I22" s="99">
        <f t="shared" si="6"/>
        <v>88272</v>
      </c>
      <c r="J22" s="14">
        <f t="shared" si="7"/>
        <v>0.87972892166633443</v>
      </c>
      <c r="K22" s="13">
        <f>101285-I22</f>
        <v>13013</v>
      </c>
      <c r="L22" s="13">
        <f t="shared" si="8"/>
        <v>101285</v>
      </c>
      <c r="M22" s="13">
        <f t="shared" si="9"/>
        <v>945</v>
      </c>
      <c r="N22" s="21"/>
    </row>
    <row r="23" spans="1:14" x14ac:dyDescent="0.25">
      <c r="A23" s="15" t="str">
        <f>[1]Monthly_Requisitions!A21</f>
        <v>FFE</v>
      </c>
      <c r="D23" s="13">
        <v>75000</v>
      </c>
      <c r="E23" s="13">
        <v>-58877</v>
      </c>
      <c r="F23" s="13">
        <f t="shared" si="5"/>
        <v>16123</v>
      </c>
      <c r="G23" s="13">
        <v>10749</v>
      </c>
      <c r="H23" s="65">
        <v>0</v>
      </c>
      <c r="I23" s="99">
        <f t="shared" si="6"/>
        <v>10749</v>
      </c>
      <c r="J23" s="14">
        <f t="shared" si="7"/>
        <v>0.66668734106555849</v>
      </c>
      <c r="K23" s="88">
        <f t="shared" ref="K20:K49" si="10">F23-I23</f>
        <v>5374</v>
      </c>
      <c r="L23" s="13">
        <f t="shared" si="8"/>
        <v>16123</v>
      </c>
      <c r="M23" s="13">
        <f t="shared" si="9"/>
        <v>0</v>
      </c>
      <c r="N23" s="21"/>
    </row>
    <row r="24" spans="1:14" x14ac:dyDescent="0.25">
      <c r="A24" s="15" t="str">
        <f>[1]Monthly_Requisitions!A22</f>
        <v>Geotech/Environmental</v>
      </c>
      <c r="D24" s="13">
        <v>30000</v>
      </c>
      <c r="E24" s="13">
        <v>2772</v>
      </c>
      <c r="F24" s="13">
        <f t="shared" si="5"/>
        <v>32772</v>
      </c>
      <c r="G24" s="13">
        <v>31814</v>
      </c>
      <c r="H24" s="65">
        <v>0</v>
      </c>
      <c r="I24" s="99">
        <f t="shared" si="6"/>
        <v>31814</v>
      </c>
      <c r="J24" s="14">
        <f t="shared" si="7"/>
        <v>0.97076772854876114</v>
      </c>
      <c r="K24" s="13">
        <f>33722-I24</f>
        <v>1908</v>
      </c>
      <c r="L24" s="13">
        <f t="shared" si="8"/>
        <v>33722</v>
      </c>
      <c r="M24" s="13">
        <f t="shared" si="9"/>
        <v>950</v>
      </c>
      <c r="N24" s="21"/>
    </row>
    <row r="25" spans="1:14" x14ac:dyDescent="0.25">
      <c r="A25" s="15" t="str">
        <f>[1]Monthly_Requisitions!A23</f>
        <v>Accounting and Cost Cert</v>
      </c>
      <c r="D25" s="13">
        <v>37500</v>
      </c>
      <c r="E25" s="13"/>
      <c r="F25" s="13">
        <f t="shared" si="5"/>
        <v>37500</v>
      </c>
      <c r="G25" s="13">
        <v>11000</v>
      </c>
      <c r="H25" s="65">
        <v>25000</v>
      </c>
      <c r="I25" s="99">
        <f t="shared" si="6"/>
        <v>36000</v>
      </c>
      <c r="J25" s="14">
        <f t="shared" si="7"/>
        <v>0.96</v>
      </c>
      <c r="K25" s="13"/>
      <c r="L25" s="13">
        <f t="shared" si="8"/>
        <v>36000</v>
      </c>
      <c r="M25" s="13">
        <f t="shared" si="9"/>
        <v>-1500</v>
      </c>
      <c r="N25" s="21"/>
    </row>
    <row r="26" spans="1:14" x14ac:dyDescent="0.25">
      <c r="A26" s="15" t="str">
        <f>[1]Monthly_Requisitions!A24</f>
        <v>Construction Loan Interest</v>
      </c>
      <c r="D26" s="13">
        <v>535500</v>
      </c>
      <c r="E26" s="13"/>
      <c r="F26" s="13">
        <f t="shared" si="5"/>
        <v>535500</v>
      </c>
      <c r="G26" s="13">
        <v>384896</v>
      </c>
      <c r="H26" s="65">
        <v>0</v>
      </c>
      <c r="I26" s="99">
        <f t="shared" si="6"/>
        <v>384896</v>
      </c>
      <c r="J26" s="14">
        <f t="shared" si="7"/>
        <v>0.71876003734827265</v>
      </c>
      <c r="K26" s="13">
        <f>18505</f>
        <v>18505</v>
      </c>
      <c r="L26" s="13">
        <f t="shared" si="8"/>
        <v>403401</v>
      </c>
      <c r="M26" s="13">
        <f t="shared" si="9"/>
        <v>-132099</v>
      </c>
      <c r="N26" s="21"/>
    </row>
    <row r="27" spans="1:14" x14ac:dyDescent="0.25">
      <c r="A27" s="15" t="str">
        <f>[1]Monthly_Requisitions!A25</f>
        <v>Financing Fees</v>
      </c>
      <c r="D27" s="13">
        <v>250000</v>
      </c>
      <c r="E27" s="13"/>
      <c r="F27" s="13">
        <f t="shared" si="5"/>
        <v>250000</v>
      </c>
      <c r="G27" s="13">
        <v>215528.41</v>
      </c>
      <c r="H27" s="65">
        <v>0</v>
      </c>
      <c r="I27" s="99">
        <f t="shared" si="6"/>
        <v>215528.41</v>
      </c>
      <c r="J27" s="14">
        <f t="shared" si="7"/>
        <v>0.86211364000000001</v>
      </c>
      <c r="K27" s="13">
        <f>226180-I27</f>
        <v>10651.589999999997</v>
      </c>
      <c r="L27" s="13">
        <f t="shared" si="8"/>
        <v>226180</v>
      </c>
      <c r="M27" s="13">
        <f t="shared" si="9"/>
        <v>-23820</v>
      </c>
      <c r="N27" s="21"/>
    </row>
    <row r="28" spans="1:14" x14ac:dyDescent="0.25">
      <c r="A28" s="15" t="str">
        <f>[1]Monthly_Requisitions!A26</f>
        <v>Bond Fees</v>
      </c>
      <c r="D28" s="13">
        <v>398839</v>
      </c>
      <c r="E28" s="13">
        <v>13511</v>
      </c>
      <c r="F28" s="13">
        <f t="shared" si="5"/>
        <v>412350</v>
      </c>
      <c r="G28" s="13">
        <v>412350</v>
      </c>
      <c r="H28" s="65">
        <v>0</v>
      </c>
      <c r="I28" s="99">
        <f t="shared" si="6"/>
        <v>412350</v>
      </c>
      <c r="J28" s="14">
        <f t="shared" si="7"/>
        <v>1</v>
      </c>
      <c r="K28" s="88">
        <f t="shared" si="10"/>
        <v>0</v>
      </c>
      <c r="L28" s="13">
        <f t="shared" si="8"/>
        <v>412350</v>
      </c>
      <c r="M28" s="13">
        <f t="shared" si="9"/>
        <v>0</v>
      </c>
      <c r="N28" s="21"/>
    </row>
    <row r="29" spans="1:14" x14ac:dyDescent="0.25">
      <c r="A29" s="15" t="str">
        <f>[1]Monthly_Requisitions!A27</f>
        <v>LIHTC Fees</v>
      </c>
      <c r="D29" s="13">
        <v>38590.440432120005</v>
      </c>
      <c r="E29" s="13"/>
      <c r="F29" s="13">
        <f t="shared" si="5"/>
        <v>38590.440432120005</v>
      </c>
      <c r="G29" s="88">
        <v>0</v>
      </c>
      <c r="H29" s="65">
        <v>36533</v>
      </c>
      <c r="I29" s="99">
        <f t="shared" si="6"/>
        <v>36533</v>
      </c>
      <c r="J29" s="14">
        <f t="shared" si="7"/>
        <v>0.94668523061458676</v>
      </c>
      <c r="K29" s="13"/>
      <c r="L29" s="13">
        <f t="shared" si="8"/>
        <v>36533</v>
      </c>
      <c r="M29" s="13">
        <f t="shared" si="9"/>
        <v>-2057.4404321200054</v>
      </c>
      <c r="N29" s="21"/>
    </row>
    <row r="30" spans="1:14" x14ac:dyDescent="0.25">
      <c r="A30" s="15" t="str">
        <f>[1]Monthly_Requisitions!A28</f>
        <v>Appraisals</v>
      </c>
      <c r="D30" s="13">
        <v>16000</v>
      </c>
      <c r="E30" s="13">
        <v>-10000</v>
      </c>
      <c r="F30" s="13">
        <f t="shared" si="5"/>
        <v>6000</v>
      </c>
      <c r="G30" s="13">
        <v>4500</v>
      </c>
      <c r="H30" s="65">
        <v>0</v>
      </c>
      <c r="I30" s="99">
        <f t="shared" si="6"/>
        <v>4500</v>
      </c>
      <c r="J30" s="14">
        <f t="shared" si="7"/>
        <v>0.75</v>
      </c>
      <c r="K30" s="13"/>
      <c r="L30" s="13">
        <f t="shared" si="8"/>
        <v>4500</v>
      </c>
      <c r="M30" s="13">
        <f t="shared" si="9"/>
        <v>-1500</v>
      </c>
      <c r="N30" s="21"/>
    </row>
    <row r="31" spans="1:14" x14ac:dyDescent="0.25">
      <c r="A31" s="15" t="str">
        <f>[1]Monthly_Requisitions!A29</f>
        <v>Inspecting Engineer</v>
      </c>
      <c r="D31" s="13">
        <v>16500</v>
      </c>
      <c r="E31" s="13">
        <v>41020</v>
      </c>
      <c r="F31" s="13">
        <f t="shared" si="5"/>
        <v>57520</v>
      </c>
      <c r="G31" s="13">
        <v>27836</v>
      </c>
      <c r="H31" s="65">
        <v>10000</v>
      </c>
      <c r="I31" s="99">
        <f t="shared" si="6"/>
        <v>37836</v>
      </c>
      <c r="J31" s="14">
        <f t="shared" si="7"/>
        <v>0.65778859527121003</v>
      </c>
      <c r="K31" s="13">
        <f>57620-I31</f>
        <v>19784</v>
      </c>
      <c r="L31" s="13">
        <f t="shared" si="8"/>
        <v>57620</v>
      </c>
      <c r="M31" s="13">
        <f t="shared" si="9"/>
        <v>100</v>
      </c>
      <c r="N31" s="21"/>
    </row>
    <row r="32" spans="1:14" x14ac:dyDescent="0.25">
      <c r="A32" s="15" t="str">
        <f>[1]Monthly_Requisitions!A30</f>
        <v>Title &amp; Recording</v>
      </c>
      <c r="D32" s="13">
        <v>36000</v>
      </c>
      <c r="E32" s="13">
        <v>94000</v>
      </c>
      <c r="F32" s="13">
        <f t="shared" si="5"/>
        <v>130000</v>
      </c>
      <c r="G32" s="13">
        <v>118646.71</v>
      </c>
      <c r="H32" s="65">
        <v>4213</v>
      </c>
      <c r="I32" s="99">
        <f t="shared" si="6"/>
        <v>122859.71</v>
      </c>
      <c r="J32" s="14">
        <f t="shared" si="7"/>
        <v>0.94507469230769237</v>
      </c>
      <c r="K32" s="13"/>
      <c r="L32" s="13">
        <f t="shared" si="8"/>
        <v>122859.71</v>
      </c>
      <c r="M32" s="13">
        <f t="shared" si="9"/>
        <v>-7140.2899999999936</v>
      </c>
      <c r="N32" s="21"/>
    </row>
    <row r="33" spans="1:18" x14ac:dyDescent="0.25">
      <c r="A33" s="15" t="str">
        <f>[1]Monthly_Requisitions!A31</f>
        <v>Legal</v>
      </c>
      <c r="D33" s="13">
        <v>180000</v>
      </c>
      <c r="E33" s="13">
        <v>76250</v>
      </c>
      <c r="F33" s="13">
        <f t="shared" si="5"/>
        <v>256250</v>
      </c>
      <c r="G33" s="13">
        <v>230500</v>
      </c>
      <c r="H33" s="65">
        <v>13954</v>
      </c>
      <c r="I33" s="99">
        <f t="shared" si="6"/>
        <v>244454</v>
      </c>
      <c r="J33" s="14">
        <f t="shared" si="7"/>
        <v>0.95396682926829268</v>
      </c>
      <c r="K33" s="13">
        <f>56064</f>
        <v>56064</v>
      </c>
      <c r="L33" s="13">
        <f t="shared" si="8"/>
        <v>300518</v>
      </c>
      <c r="M33" s="13">
        <f t="shared" si="9"/>
        <v>44268</v>
      </c>
      <c r="N33"/>
      <c r="O33"/>
      <c r="P33"/>
      <c r="Q33"/>
      <c r="R33"/>
    </row>
    <row r="34" spans="1:18" x14ac:dyDescent="0.25">
      <c r="A34" s="15" t="s">
        <v>70</v>
      </c>
      <c r="D34" s="13">
        <v>91250</v>
      </c>
      <c r="E34" s="87"/>
      <c r="F34" s="13">
        <f t="shared" si="5"/>
        <v>91250</v>
      </c>
      <c r="G34" s="87">
        <v>91250</v>
      </c>
      <c r="H34" s="87"/>
      <c r="I34" s="99">
        <f t="shared" si="6"/>
        <v>91250</v>
      </c>
      <c r="J34" s="14">
        <f t="shared" si="7"/>
        <v>1</v>
      </c>
      <c r="K34" s="87"/>
      <c r="L34" s="13">
        <f t="shared" si="8"/>
        <v>91250</v>
      </c>
      <c r="M34" s="13">
        <f t="shared" si="9"/>
        <v>0</v>
      </c>
      <c r="N34"/>
      <c r="O34"/>
      <c r="P34"/>
      <c r="Q34"/>
      <c r="R34"/>
    </row>
    <row r="35" spans="1:18" x14ac:dyDescent="0.25">
      <c r="A35" s="15" t="str">
        <f>[1]Monthly_Requisitions!A32</f>
        <v>Insurance</v>
      </c>
      <c r="D35" s="13">
        <v>30000</v>
      </c>
      <c r="E35" s="87">
        <v>-30000</v>
      </c>
      <c r="F35" s="88">
        <f t="shared" si="5"/>
        <v>0</v>
      </c>
      <c r="G35" s="88">
        <v>0</v>
      </c>
      <c r="H35" s="88">
        <v>0</v>
      </c>
      <c r="I35" s="101">
        <f t="shared" si="6"/>
        <v>0</v>
      </c>
      <c r="J35" s="14">
        <v>0</v>
      </c>
      <c r="K35" s="88">
        <f t="shared" si="10"/>
        <v>0</v>
      </c>
      <c r="L35" s="88">
        <f t="shared" si="8"/>
        <v>0</v>
      </c>
      <c r="M35" s="13">
        <f t="shared" si="9"/>
        <v>0</v>
      </c>
      <c r="N35"/>
      <c r="O35"/>
      <c r="P35"/>
      <c r="Q35"/>
      <c r="R35"/>
    </row>
    <row r="36" spans="1:18" x14ac:dyDescent="0.25">
      <c r="A36" s="15" t="str">
        <f>[1]Monthly_Requisitions!A33</f>
        <v>Relocation</v>
      </c>
      <c r="D36" s="13">
        <v>250000</v>
      </c>
      <c r="E36" s="87">
        <v>629042</v>
      </c>
      <c r="F36" s="87">
        <f t="shared" si="5"/>
        <v>879042</v>
      </c>
      <c r="G36" s="87">
        <v>709725</v>
      </c>
      <c r="H36" s="87">
        <v>51924.25</v>
      </c>
      <c r="I36" s="99">
        <f>+G36+H36-0.45</f>
        <v>761648.8</v>
      </c>
      <c r="J36" s="14">
        <f t="shared" si="7"/>
        <v>0.86645325251808225</v>
      </c>
      <c r="K36" s="87">
        <f>10320</f>
        <v>10320</v>
      </c>
      <c r="L36" s="13">
        <f t="shared" si="8"/>
        <v>771968.8</v>
      </c>
      <c r="M36" s="13">
        <f t="shared" si="9"/>
        <v>-107073.19999999995</v>
      </c>
      <c r="N36"/>
      <c r="O36"/>
      <c r="P36"/>
      <c r="Q36"/>
      <c r="R36"/>
    </row>
    <row r="37" spans="1:18" x14ac:dyDescent="0.25">
      <c r="A37" s="15" t="s">
        <v>74</v>
      </c>
      <c r="D37" s="13">
        <v>250000</v>
      </c>
      <c r="E37" s="87">
        <v>18681</v>
      </c>
      <c r="F37" s="87">
        <f t="shared" si="5"/>
        <v>268681</v>
      </c>
      <c r="G37" s="87">
        <v>262175</v>
      </c>
      <c r="H37" s="87"/>
      <c r="I37" s="99">
        <f t="shared" si="6"/>
        <v>262175</v>
      </c>
      <c r="J37" s="14">
        <f t="shared" si="7"/>
        <v>0.9757854109520212</v>
      </c>
      <c r="K37" s="87">
        <v>5723</v>
      </c>
      <c r="L37" s="13">
        <f t="shared" si="8"/>
        <v>267898</v>
      </c>
      <c r="M37" s="13">
        <f t="shared" si="9"/>
        <v>-783</v>
      </c>
      <c r="N37"/>
      <c r="O37"/>
      <c r="P37"/>
      <c r="Q37"/>
      <c r="R37"/>
    </row>
    <row r="38" spans="1:18" x14ac:dyDescent="0.25">
      <c r="A38" s="15" t="s">
        <v>72</v>
      </c>
      <c r="D38" s="13"/>
      <c r="E38" s="87"/>
      <c r="F38" s="87"/>
      <c r="G38" s="87">
        <v>18324</v>
      </c>
      <c r="H38" s="87"/>
      <c r="I38" s="99">
        <f t="shared" si="6"/>
        <v>18324</v>
      </c>
      <c r="J38" s="89">
        <v>1</v>
      </c>
      <c r="K38" s="87"/>
      <c r="L38" s="13">
        <f t="shared" si="8"/>
        <v>18324</v>
      </c>
      <c r="M38" s="13">
        <f t="shared" si="9"/>
        <v>18324</v>
      </c>
      <c r="N38"/>
      <c r="O38"/>
      <c r="P38"/>
      <c r="Q38"/>
      <c r="R38"/>
    </row>
    <row r="39" spans="1:18" x14ac:dyDescent="0.25">
      <c r="A39" s="15" t="s">
        <v>73</v>
      </c>
      <c r="D39" s="13"/>
      <c r="E39" s="87"/>
      <c r="F39" s="87"/>
      <c r="G39" s="87"/>
      <c r="H39" s="87">
        <v>213944</v>
      </c>
      <c r="I39" s="99">
        <f t="shared" si="6"/>
        <v>213944</v>
      </c>
      <c r="J39" s="89">
        <v>1</v>
      </c>
      <c r="K39" s="87"/>
      <c r="L39" s="13">
        <f t="shared" si="8"/>
        <v>213944</v>
      </c>
      <c r="M39" s="13">
        <f t="shared" si="9"/>
        <v>213944</v>
      </c>
      <c r="N39"/>
      <c r="O39"/>
      <c r="P39"/>
      <c r="Q39"/>
      <c r="R39"/>
    </row>
    <row r="40" spans="1:18" x14ac:dyDescent="0.25">
      <c r="A40" s="15" t="str">
        <f>[1]Monthly_Requisitions!A35</f>
        <v>Capitalized Reserves</v>
      </c>
      <c r="D40" s="13">
        <v>1189577</v>
      </c>
      <c r="E40" s="87"/>
      <c r="F40" s="87">
        <f t="shared" si="5"/>
        <v>1189577</v>
      </c>
      <c r="G40" s="88">
        <v>0</v>
      </c>
      <c r="H40" s="87">
        <v>1197027</v>
      </c>
      <c r="I40" s="99">
        <f>+G40+H40</f>
        <v>1197027</v>
      </c>
      <c r="J40" s="14">
        <f t="shared" si="7"/>
        <v>1.0062627303654996</v>
      </c>
      <c r="K40" s="87"/>
      <c r="L40" s="13">
        <f>I40+K40</f>
        <v>1197027</v>
      </c>
      <c r="M40" s="13">
        <f t="shared" si="9"/>
        <v>7450</v>
      </c>
      <c r="N40"/>
      <c r="O40"/>
      <c r="P40"/>
      <c r="Q40"/>
      <c r="R40"/>
    </row>
    <row r="41" spans="1:18" x14ac:dyDescent="0.25">
      <c r="A41" s="15" t="str">
        <f>[1]Monthly_Requisitions!A36</f>
        <v>Replacement Reserve</v>
      </c>
      <c r="D41" s="13">
        <v>1634293</v>
      </c>
      <c r="E41" s="13"/>
      <c r="F41" s="87">
        <f t="shared" si="5"/>
        <v>1634293</v>
      </c>
      <c r="G41" s="87">
        <v>1634293</v>
      </c>
      <c r="H41" s="88">
        <v>0</v>
      </c>
      <c r="I41" s="99">
        <f t="shared" si="6"/>
        <v>1634293</v>
      </c>
      <c r="J41" s="14">
        <f t="shared" si="7"/>
        <v>1</v>
      </c>
      <c r="K41" s="88">
        <f t="shared" si="10"/>
        <v>0</v>
      </c>
      <c r="L41" s="13">
        <f t="shared" si="8"/>
        <v>1634293</v>
      </c>
      <c r="M41" s="13">
        <f t="shared" si="9"/>
        <v>0</v>
      </c>
      <c r="N41"/>
      <c r="O41"/>
      <c r="P41"/>
      <c r="Q41"/>
      <c r="R41"/>
    </row>
    <row r="42" spans="1:18" x14ac:dyDescent="0.25">
      <c r="A42" s="15" t="str">
        <f>[1]Monthly_Requisitions!A37</f>
        <v xml:space="preserve">Soft Cost Contingency </v>
      </c>
      <c r="D42" s="17">
        <v>259658</v>
      </c>
      <c r="E42" s="17">
        <v>-259658</v>
      </c>
      <c r="F42" s="86">
        <f t="shared" si="5"/>
        <v>0</v>
      </c>
      <c r="G42" s="86">
        <v>0</v>
      </c>
      <c r="H42" s="86">
        <v>0</v>
      </c>
      <c r="I42" s="86">
        <f t="shared" si="6"/>
        <v>0</v>
      </c>
      <c r="J42" s="86">
        <v>0</v>
      </c>
      <c r="K42" s="86">
        <f t="shared" si="10"/>
        <v>0</v>
      </c>
      <c r="L42" s="86">
        <f t="shared" si="8"/>
        <v>0</v>
      </c>
      <c r="M42" s="13">
        <f t="shared" si="9"/>
        <v>0</v>
      </c>
      <c r="N42"/>
      <c r="O42"/>
      <c r="P42"/>
      <c r="Q42"/>
      <c r="R42"/>
    </row>
    <row r="43" spans="1:18" x14ac:dyDescent="0.25">
      <c r="A43" s="12" t="s">
        <v>29</v>
      </c>
      <c r="D43" s="13">
        <f>SUM(D20:D42)</f>
        <v>5916507.4404321201</v>
      </c>
      <c r="E43" s="13">
        <f t="shared" ref="E43:M43" si="11">SUM(E20:E42)</f>
        <v>804785</v>
      </c>
      <c r="F43" s="68">
        <f t="shared" si="11"/>
        <v>6721292.4404321201</v>
      </c>
      <c r="G43" s="68">
        <f t="shared" si="11"/>
        <v>5019210.4000000004</v>
      </c>
      <c r="H43" s="68">
        <f t="shared" si="11"/>
        <v>1560740.25</v>
      </c>
      <c r="I43" s="102">
        <f t="shared" si="11"/>
        <v>6579950.2000000002</v>
      </c>
      <c r="J43" s="90">
        <f>I43/F43</f>
        <v>0.97897097296617064</v>
      </c>
      <c r="K43" s="68">
        <f t="shared" si="11"/>
        <v>141342.59</v>
      </c>
      <c r="L43" s="68">
        <f t="shared" si="11"/>
        <v>6721292.79</v>
      </c>
      <c r="M43" s="68">
        <f>SUM(M20:M42)</f>
        <v>0.34956788003910333</v>
      </c>
      <c r="N43"/>
      <c r="O43"/>
      <c r="P43"/>
      <c r="Q43"/>
      <c r="R43"/>
    </row>
    <row r="44" spans="1:18" x14ac:dyDescent="0.25">
      <c r="A44" s="15"/>
      <c r="D44" s="13"/>
      <c r="E44" s="13"/>
      <c r="F44" s="13"/>
      <c r="G44" s="13"/>
      <c r="H44" s="65"/>
      <c r="I44" s="99"/>
      <c r="J44" s="14"/>
      <c r="K44" s="13"/>
      <c r="L44" s="13"/>
      <c r="M44" s="13"/>
      <c r="N44"/>
      <c r="O44"/>
      <c r="P44"/>
      <c r="Q44"/>
      <c r="R44"/>
    </row>
    <row r="45" spans="1:18" x14ac:dyDescent="0.25">
      <c r="A45" s="12" t="s">
        <v>30</v>
      </c>
      <c r="D45" s="13"/>
      <c r="E45" s="13"/>
      <c r="F45" s="13"/>
      <c r="G45" s="13"/>
      <c r="H45" s="65"/>
      <c r="I45" s="99"/>
      <c r="J45" s="14"/>
      <c r="K45" s="13"/>
      <c r="L45" s="13"/>
      <c r="M45" s="13"/>
      <c r="N45"/>
      <c r="O45"/>
      <c r="P45"/>
      <c r="Q45"/>
      <c r="R45"/>
    </row>
    <row r="46" spans="1:18" x14ac:dyDescent="0.25">
      <c r="A46" s="15" t="s">
        <v>31</v>
      </c>
      <c r="D46" s="13">
        <v>1011288</v>
      </c>
      <c r="E46" s="13"/>
      <c r="F46" s="13">
        <f>+D46+E46</f>
        <v>1011288</v>
      </c>
      <c r="G46" s="88">
        <v>0</v>
      </c>
      <c r="H46" s="65">
        <v>1011288</v>
      </c>
      <c r="I46" s="99">
        <f>+G46+H46</f>
        <v>1011288</v>
      </c>
      <c r="J46" s="14">
        <f t="shared" si="7"/>
        <v>1</v>
      </c>
      <c r="K46" s="88">
        <f t="shared" si="10"/>
        <v>0</v>
      </c>
      <c r="L46" s="13">
        <f t="shared" ref="L46:L47" si="12">I46+K46</f>
        <v>1011288</v>
      </c>
      <c r="M46" s="88">
        <f t="shared" ref="M46:M49" si="13">L46-F46</f>
        <v>0</v>
      </c>
      <c r="N46" s="21"/>
    </row>
    <row r="47" spans="1:18" x14ac:dyDescent="0.25">
      <c r="A47" s="15" t="s">
        <v>32</v>
      </c>
      <c r="D47" s="17">
        <v>1011288</v>
      </c>
      <c r="E47" s="17"/>
      <c r="F47" s="17">
        <f>+D47+E47</f>
        <v>1011288</v>
      </c>
      <c r="G47" s="17">
        <v>1011288</v>
      </c>
      <c r="H47" s="76">
        <v>0</v>
      </c>
      <c r="I47" s="100">
        <f>+G47+H47</f>
        <v>1011288</v>
      </c>
      <c r="J47" s="20">
        <f t="shared" si="7"/>
        <v>1</v>
      </c>
      <c r="K47" s="117">
        <f t="shared" si="10"/>
        <v>0</v>
      </c>
      <c r="L47" s="13">
        <f t="shared" si="12"/>
        <v>1011288</v>
      </c>
      <c r="M47" s="117">
        <f t="shared" si="13"/>
        <v>0</v>
      </c>
      <c r="N47" s="21"/>
    </row>
    <row r="48" spans="1:18" x14ac:dyDescent="0.25">
      <c r="A48" s="12" t="s">
        <v>33</v>
      </c>
      <c r="D48" s="13">
        <v>2022576</v>
      </c>
      <c r="E48" s="88">
        <f>SUM(E45:E47)</f>
        <v>0</v>
      </c>
      <c r="F48" s="13">
        <f>+D48+E48</f>
        <v>2022576</v>
      </c>
      <c r="G48" s="13">
        <v>1011288</v>
      </c>
      <c r="H48" s="13">
        <v>1011288</v>
      </c>
      <c r="I48" s="99">
        <f>+G48+H48</f>
        <v>2022576</v>
      </c>
      <c r="J48" s="14">
        <f t="shared" si="7"/>
        <v>1</v>
      </c>
      <c r="K48" s="88">
        <f t="shared" si="10"/>
        <v>0</v>
      </c>
      <c r="L48" s="68">
        <f>SUM(L46:L47)</f>
        <v>2022576</v>
      </c>
      <c r="M48" s="88">
        <f t="shared" si="13"/>
        <v>0</v>
      </c>
      <c r="N48" s="21"/>
    </row>
    <row r="49" spans="1:13" x14ac:dyDescent="0.25">
      <c r="A49" s="22"/>
      <c r="D49" s="13"/>
      <c r="E49" s="13"/>
      <c r="F49" s="13"/>
      <c r="G49" s="13"/>
      <c r="H49" s="65"/>
      <c r="I49" s="99"/>
      <c r="J49" s="14"/>
      <c r="K49" s="88"/>
      <c r="L49" s="13"/>
      <c r="M49" s="88"/>
    </row>
    <row r="50" spans="1:13" ht="15.75" thickBot="1" x14ac:dyDescent="0.3">
      <c r="A50" s="23" t="s">
        <v>34</v>
      </c>
      <c r="D50" s="24">
        <f>D13+D17+D43+D48</f>
        <v>33545332.840432119</v>
      </c>
      <c r="E50" s="24">
        <f t="shared" ref="E50:M50" si="14">E13+E17+E43+E48</f>
        <v>682762.6</v>
      </c>
      <c r="F50" s="24">
        <f>F13+F17+F43+F48+0.25</f>
        <v>34228095.690432116</v>
      </c>
      <c r="G50" s="24">
        <f t="shared" si="14"/>
        <v>31281475.399999999</v>
      </c>
      <c r="H50" s="24">
        <f t="shared" si="14"/>
        <v>2805278.25</v>
      </c>
      <c r="I50" s="103">
        <f t="shared" si="14"/>
        <v>34086753.200000003</v>
      </c>
      <c r="J50" s="85">
        <f t="shared" si="14"/>
        <v>3.9789709729661706</v>
      </c>
      <c r="K50" s="24">
        <f t="shared" si="14"/>
        <v>141342.59</v>
      </c>
      <c r="L50" s="24">
        <f t="shared" si="14"/>
        <v>34228095.789999999</v>
      </c>
      <c r="M50" s="24">
        <f t="shared" si="14"/>
        <v>0.34956788003910333</v>
      </c>
    </row>
    <row r="51" spans="1:13" ht="15.75" thickTop="1" x14ac:dyDescent="0.25">
      <c r="A51" s="22"/>
      <c r="D51" s="25"/>
      <c r="E51" s="25"/>
      <c r="F51" s="25"/>
      <c r="G51" s="25"/>
      <c r="I51" s="104"/>
      <c r="J51" s="26"/>
      <c r="K51" s="25"/>
      <c r="L51" s="25"/>
      <c r="M51" s="25"/>
    </row>
    <row r="52" spans="1:13" hidden="1" x14ac:dyDescent="0.25">
      <c r="A52" s="22"/>
      <c r="D52" s="25"/>
      <c r="E52" s="25"/>
      <c r="F52" s="25"/>
      <c r="G52" s="25"/>
      <c r="I52" s="104"/>
      <c r="J52" s="26"/>
      <c r="K52" s="25"/>
      <c r="L52" s="25"/>
      <c r="M52" s="25"/>
    </row>
    <row r="53" spans="1:13" hidden="1" x14ac:dyDescent="0.25">
      <c r="A53" s="22"/>
      <c r="D53" s="25"/>
      <c r="E53" s="25"/>
      <c r="F53" s="25"/>
      <c r="G53" s="25"/>
      <c r="I53" s="104"/>
      <c r="J53" s="26"/>
      <c r="K53" s="25"/>
      <c r="L53" s="25"/>
      <c r="M53" s="25"/>
    </row>
    <row r="54" spans="1:13" hidden="1" x14ac:dyDescent="0.25">
      <c r="A54" s="22"/>
      <c r="D54" s="25"/>
      <c r="E54" s="25"/>
      <c r="F54" s="25"/>
      <c r="G54" s="25"/>
      <c r="I54" s="104"/>
      <c r="J54" s="26"/>
      <c r="K54" s="25"/>
      <c r="L54" s="25"/>
      <c r="M54" s="25"/>
    </row>
    <row r="55" spans="1:13" hidden="1" x14ac:dyDescent="0.25">
      <c r="A55" s="22"/>
      <c r="D55" s="25"/>
      <c r="E55" s="25"/>
      <c r="F55" s="25"/>
      <c r="G55" s="25"/>
      <c r="I55" s="104"/>
      <c r="J55" s="26"/>
      <c r="K55" s="25"/>
      <c r="L55" s="25"/>
      <c r="M55" s="25"/>
    </row>
    <row r="56" spans="1:13" hidden="1" x14ac:dyDescent="0.25">
      <c r="A56" s="22"/>
      <c r="D56" s="25"/>
      <c r="E56" s="25"/>
      <c r="F56" s="25"/>
      <c r="G56" s="25"/>
      <c r="I56" s="104"/>
      <c r="J56" s="26"/>
      <c r="K56" s="25"/>
      <c r="L56" s="25"/>
      <c r="M56" s="25"/>
    </row>
    <row r="57" spans="1:13" hidden="1" x14ac:dyDescent="0.25">
      <c r="A57" s="22"/>
      <c r="D57" s="25"/>
      <c r="E57" s="25"/>
      <c r="F57" s="25"/>
      <c r="G57" s="25"/>
      <c r="I57" s="104"/>
      <c r="J57" s="26"/>
      <c r="K57" s="25"/>
      <c r="L57" s="25"/>
      <c r="M57" s="25"/>
    </row>
    <row r="58" spans="1:13" hidden="1" x14ac:dyDescent="0.25">
      <c r="A58" s="22"/>
      <c r="D58" s="25"/>
      <c r="E58" s="25"/>
      <c r="F58" s="25"/>
      <c r="G58" s="25"/>
      <c r="I58" s="104"/>
      <c r="J58" s="26"/>
      <c r="K58" s="25"/>
      <c r="L58" s="25"/>
      <c r="M58" s="25"/>
    </row>
    <row r="59" spans="1:13" hidden="1" x14ac:dyDescent="0.25">
      <c r="A59" s="22"/>
      <c r="D59" s="25"/>
      <c r="E59" s="25"/>
      <c r="F59" s="25"/>
      <c r="G59" s="25"/>
      <c r="I59" s="104"/>
      <c r="J59" s="26"/>
      <c r="K59" s="25"/>
      <c r="L59" s="25"/>
      <c r="M59" s="25"/>
    </row>
    <row r="60" spans="1:13" hidden="1" x14ac:dyDescent="0.25">
      <c r="A60" s="22"/>
      <c r="D60" s="25"/>
      <c r="E60" s="25"/>
      <c r="F60" s="25"/>
      <c r="G60" s="25"/>
      <c r="I60" s="104"/>
      <c r="J60" s="26"/>
      <c r="K60" s="25"/>
      <c r="L60" s="25"/>
      <c r="M60" s="25"/>
    </row>
    <row r="61" spans="1:13" hidden="1" x14ac:dyDescent="0.25">
      <c r="A61" s="22"/>
      <c r="D61" s="25"/>
      <c r="E61" s="25"/>
      <c r="F61" s="25"/>
      <c r="G61" s="25"/>
      <c r="I61" s="104"/>
      <c r="J61" s="26"/>
      <c r="K61" s="25"/>
      <c r="L61" s="25"/>
      <c r="M61" s="25"/>
    </row>
    <row r="62" spans="1:13" hidden="1" x14ac:dyDescent="0.25">
      <c r="A62" s="22"/>
      <c r="D62" s="25"/>
      <c r="E62" s="25"/>
      <c r="F62" s="25"/>
      <c r="G62" s="25"/>
      <c r="I62" s="104"/>
      <c r="J62" s="26"/>
      <c r="K62" s="25"/>
      <c r="L62" s="25"/>
      <c r="M62" s="25"/>
    </row>
    <row r="63" spans="1:13" hidden="1" x14ac:dyDescent="0.25">
      <c r="A63" s="22"/>
      <c r="D63" s="25"/>
      <c r="E63" s="25"/>
      <c r="F63" s="25"/>
      <c r="G63" s="25"/>
      <c r="I63" s="104"/>
      <c r="J63" s="26"/>
      <c r="K63" s="25"/>
      <c r="L63" s="25"/>
      <c r="M63" s="25"/>
    </row>
    <row r="64" spans="1:13" hidden="1" x14ac:dyDescent="0.25">
      <c r="A64" s="22"/>
      <c r="D64" s="25"/>
      <c r="E64" s="25"/>
      <c r="F64" s="25"/>
      <c r="G64" s="25"/>
      <c r="I64" s="104"/>
      <c r="J64" s="26"/>
      <c r="K64" s="25"/>
      <c r="L64" s="25"/>
      <c r="M64" s="25"/>
    </row>
    <row r="65" spans="1:13" hidden="1" x14ac:dyDescent="0.25">
      <c r="A65" s="22"/>
      <c r="D65" s="25"/>
      <c r="E65" s="25"/>
      <c r="F65" s="25"/>
      <c r="G65" s="25"/>
      <c r="I65" s="104"/>
      <c r="J65" s="26"/>
      <c r="K65" s="25"/>
      <c r="L65" s="25"/>
      <c r="M65" s="25"/>
    </row>
    <row r="66" spans="1:13" hidden="1" x14ac:dyDescent="0.25">
      <c r="A66" s="22"/>
      <c r="D66" s="25"/>
      <c r="E66" s="25"/>
      <c r="F66" s="25"/>
      <c r="G66" s="25"/>
      <c r="I66" s="104"/>
      <c r="J66" s="26"/>
      <c r="K66" s="25"/>
      <c r="L66" s="25"/>
      <c r="M66" s="25"/>
    </row>
    <row r="67" spans="1:13" hidden="1" x14ac:dyDescent="0.25">
      <c r="A67" s="22"/>
      <c r="D67" s="25"/>
      <c r="E67" s="25"/>
      <c r="F67" s="25"/>
      <c r="G67" s="25"/>
      <c r="I67" s="104"/>
      <c r="J67" s="26"/>
      <c r="K67" s="25"/>
      <c r="L67" s="25"/>
      <c r="M67" s="25"/>
    </row>
    <row r="68" spans="1:13" hidden="1" x14ac:dyDescent="0.25">
      <c r="A68" s="22"/>
      <c r="D68" s="25"/>
      <c r="E68" s="25"/>
      <c r="F68" s="25"/>
      <c r="G68" s="25"/>
      <c r="I68" s="104"/>
      <c r="J68" s="26"/>
      <c r="K68" s="25"/>
      <c r="L68" s="25"/>
      <c r="M68" s="25"/>
    </row>
    <row r="69" spans="1:13" hidden="1" x14ac:dyDescent="0.25">
      <c r="A69" s="22"/>
      <c r="D69" s="25"/>
      <c r="E69" s="25"/>
      <c r="F69" s="25"/>
      <c r="G69" s="25"/>
      <c r="I69" s="104"/>
      <c r="J69" s="26"/>
      <c r="K69" s="25"/>
      <c r="L69" s="25"/>
      <c r="M69" s="25"/>
    </row>
    <row r="70" spans="1:13" hidden="1" x14ac:dyDescent="0.25">
      <c r="A70" s="22"/>
      <c r="D70" s="25"/>
      <c r="E70" s="25"/>
      <c r="F70" s="25"/>
      <c r="G70" s="25"/>
      <c r="I70" s="104"/>
      <c r="J70" s="26"/>
      <c r="K70" s="25"/>
      <c r="L70" s="25"/>
      <c r="M70" s="25"/>
    </row>
    <row r="71" spans="1:13" hidden="1" x14ac:dyDescent="0.25">
      <c r="A71" s="22"/>
      <c r="D71" s="25"/>
      <c r="E71" s="25"/>
      <c r="F71" s="25"/>
      <c r="G71" s="25"/>
      <c r="I71" s="104"/>
      <c r="J71" s="26"/>
      <c r="K71" s="25"/>
      <c r="L71" s="25"/>
      <c r="M71" s="25"/>
    </row>
    <row r="72" spans="1:13" hidden="1" x14ac:dyDescent="0.25">
      <c r="A72" s="22"/>
      <c r="D72" s="25"/>
      <c r="E72" s="25"/>
      <c r="F72" s="25"/>
      <c r="G72" s="25"/>
      <c r="I72" s="104"/>
      <c r="J72" s="26"/>
      <c r="K72" s="25"/>
      <c r="L72" s="25"/>
      <c r="M72" s="25"/>
    </row>
    <row r="73" spans="1:13" hidden="1" x14ac:dyDescent="0.25">
      <c r="A73" s="22"/>
      <c r="D73" s="25"/>
      <c r="E73" s="25"/>
      <c r="F73" s="25"/>
      <c r="G73" s="25"/>
      <c r="I73" s="104"/>
      <c r="J73" s="26"/>
      <c r="K73" s="25"/>
      <c r="L73" s="25"/>
      <c r="M73" s="25"/>
    </row>
    <row r="74" spans="1:13" hidden="1" x14ac:dyDescent="0.25">
      <c r="A74" s="22"/>
      <c r="D74" s="25"/>
      <c r="E74" s="25"/>
      <c r="F74" s="25"/>
      <c r="G74" s="25"/>
      <c r="I74" s="104"/>
      <c r="J74" s="26"/>
      <c r="K74" s="25"/>
      <c r="L74" s="25"/>
      <c r="M74" s="25"/>
    </row>
    <row r="75" spans="1:13" hidden="1" x14ac:dyDescent="0.25">
      <c r="A75" s="22"/>
      <c r="D75" s="25"/>
      <c r="E75" s="25"/>
      <c r="F75" s="25"/>
      <c r="G75" s="25"/>
      <c r="I75" s="104"/>
      <c r="J75" s="26"/>
      <c r="K75" s="25"/>
      <c r="L75" s="25"/>
      <c r="M75" s="25"/>
    </row>
    <row r="76" spans="1:13" hidden="1" x14ac:dyDescent="0.25">
      <c r="A76" s="22"/>
      <c r="D76" s="25"/>
      <c r="E76" s="25"/>
      <c r="F76" s="25"/>
      <c r="G76" s="25"/>
      <c r="I76" s="104"/>
      <c r="J76" s="26"/>
      <c r="K76" s="25"/>
      <c r="L76" s="25"/>
      <c r="M76" s="25"/>
    </row>
    <row r="77" spans="1:13" hidden="1" x14ac:dyDescent="0.25">
      <c r="A77" s="22"/>
      <c r="D77" s="25"/>
      <c r="E77" s="25"/>
      <c r="F77" s="25"/>
      <c r="G77" s="25"/>
      <c r="I77" s="104"/>
      <c r="J77" s="26"/>
      <c r="K77" s="25"/>
      <c r="L77" s="25"/>
      <c r="M77" s="25"/>
    </row>
    <row r="78" spans="1:13" ht="16.5" hidden="1" customHeight="1" x14ac:dyDescent="0.25">
      <c r="A78" s="22"/>
      <c r="D78" s="25"/>
      <c r="E78" s="25"/>
      <c r="F78" s="25"/>
      <c r="G78" s="25"/>
      <c r="I78" s="104"/>
      <c r="J78" s="26"/>
      <c r="K78" s="25"/>
      <c r="L78" s="25"/>
      <c r="M78" s="25"/>
    </row>
    <row r="79" spans="1:13" hidden="1" x14ac:dyDescent="0.25">
      <c r="A79" s="22"/>
      <c r="D79" s="25"/>
      <c r="E79" s="25"/>
      <c r="F79" s="25"/>
      <c r="G79" s="25"/>
      <c r="I79" s="104"/>
      <c r="J79" s="26"/>
      <c r="K79" s="25"/>
      <c r="L79" s="25"/>
      <c r="M79" s="25"/>
    </row>
    <row r="80" spans="1:13" hidden="1" x14ac:dyDescent="0.25">
      <c r="A80" s="22"/>
      <c r="J80" s="26"/>
    </row>
    <row r="81" spans="1:17" ht="14.25" hidden="1" customHeight="1" x14ac:dyDescent="0.25">
      <c r="A81" s="22"/>
      <c r="J81" s="26"/>
    </row>
    <row r="82" spans="1:17" x14ac:dyDescent="0.25">
      <c r="D82"/>
      <c r="E82"/>
    </row>
    <row r="83" spans="1:17" x14ac:dyDescent="0.25">
      <c r="D83"/>
      <c r="E83"/>
    </row>
    <row r="84" spans="1:17" customFormat="1" x14ac:dyDescent="0.25">
      <c r="A84" s="3"/>
      <c r="B84" s="3"/>
      <c r="C84" s="3"/>
      <c r="F84" s="3"/>
      <c r="G84" s="3"/>
      <c r="H84" s="70"/>
      <c r="I84" s="105"/>
      <c r="J84" s="3"/>
      <c r="K84" s="3"/>
      <c r="L84" s="3"/>
      <c r="M84" s="3"/>
      <c r="N84" s="3"/>
      <c r="O84" s="3"/>
      <c r="P84" s="3"/>
      <c r="Q84" s="3"/>
    </row>
    <row r="85" spans="1:17" customFormat="1" x14ac:dyDescent="0.25">
      <c r="A85" s="3"/>
      <c r="B85" s="3"/>
      <c r="C85" s="3"/>
      <c r="D85" s="3"/>
      <c r="E85" s="3"/>
      <c r="F85" s="3"/>
      <c r="G85" s="3"/>
      <c r="H85" s="70"/>
      <c r="I85" s="105"/>
      <c r="J85" s="3"/>
      <c r="K85" s="3"/>
      <c r="L85" s="3"/>
      <c r="M85" s="3"/>
      <c r="N85" s="3"/>
      <c r="O85" s="3"/>
      <c r="P85" s="3"/>
      <c r="Q85" s="3"/>
    </row>
    <row r="86" spans="1:17" customFormat="1" x14ac:dyDescent="0.25">
      <c r="A86" s="3"/>
      <c r="B86" s="3"/>
      <c r="C86" s="3"/>
      <c r="D86" s="3"/>
      <c r="E86" s="3"/>
      <c r="F86" s="3"/>
      <c r="G86" s="3"/>
      <c r="H86" s="70"/>
      <c r="I86" s="105"/>
      <c r="J86" s="3"/>
      <c r="K86" s="3"/>
      <c r="L86" s="3"/>
      <c r="M86" s="3"/>
      <c r="N86" s="3"/>
      <c r="O86" s="3"/>
      <c r="P86" s="3"/>
      <c r="Q86" s="3"/>
    </row>
    <row r="87" spans="1:17" customFormat="1" x14ac:dyDescent="0.25">
      <c r="A87" s="3"/>
      <c r="B87" s="3"/>
      <c r="C87" s="3"/>
      <c r="D87" s="3"/>
      <c r="E87" s="3"/>
      <c r="F87" s="3"/>
      <c r="G87" s="3"/>
      <c r="H87" s="70"/>
      <c r="I87" s="105"/>
      <c r="J87" s="3"/>
      <c r="K87" s="3"/>
      <c r="L87" s="3"/>
      <c r="M87" s="3"/>
      <c r="N87" s="3"/>
      <c r="O87" s="3"/>
      <c r="P87" s="3"/>
      <c r="Q87" s="3"/>
    </row>
    <row r="88" spans="1:17" customFormat="1" x14ac:dyDescent="0.25">
      <c r="A88" s="3"/>
      <c r="B88" s="3"/>
      <c r="C88" s="3"/>
      <c r="D88" s="3"/>
      <c r="E88" s="3"/>
      <c r="F88" s="3"/>
      <c r="G88" s="3"/>
      <c r="H88" s="70"/>
      <c r="I88" s="105"/>
      <c r="J88" s="3"/>
      <c r="K88" s="3"/>
      <c r="L88" s="3"/>
      <c r="M88" s="3"/>
      <c r="N88" s="3"/>
      <c r="O88" s="3"/>
      <c r="P88" s="3"/>
      <c r="Q88" s="3"/>
    </row>
    <row r="89" spans="1:17" customFormat="1" x14ac:dyDescent="0.25">
      <c r="A89" s="3"/>
      <c r="B89" s="3"/>
      <c r="C89" s="3"/>
      <c r="D89" s="3"/>
      <c r="E89" s="3"/>
      <c r="F89" s="3"/>
      <c r="G89" s="3"/>
      <c r="H89" s="70"/>
      <c r="I89" s="105"/>
      <c r="J89" s="3"/>
      <c r="K89" s="3"/>
      <c r="L89" s="3"/>
      <c r="M89" s="3"/>
      <c r="N89" s="3"/>
      <c r="O89" s="3"/>
      <c r="P89" s="3"/>
      <c r="Q89" s="3"/>
    </row>
    <row r="90" spans="1:17" customFormat="1" x14ac:dyDescent="0.25">
      <c r="A90" s="3"/>
      <c r="B90" s="3"/>
      <c r="C90" s="3"/>
      <c r="D90" s="3"/>
      <c r="E90" s="3"/>
      <c r="F90" s="3"/>
      <c r="G90" s="3"/>
      <c r="H90" s="70"/>
      <c r="I90" s="105"/>
      <c r="J90" s="3"/>
      <c r="K90" s="3"/>
      <c r="L90" s="3"/>
      <c r="M90" s="3"/>
      <c r="N90" s="3"/>
      <c r="O90" s="3"/>
      <c r="P90" s="3"/>
      <c r="Q90" s="3"/>
    </row>
    <row r="91" spans="1:17" customFormat="1" x14ac:dyDescent="0.25">
      <c r="A91" s="3"/>
      <c r="B91" s="3"/>
      <c r="C91" s="3"/>
      <c r="D91" s="3"/>
      <c r="E91" s="3"/>
      <c r="F91" s="3"/>
      <c r="G91" s="3"/>
      <c r="H91" s="70"/>
      <c r="I91" s="105"/>
      <c r="J91" s="3"/>
      <c r="K91" s="3"/>
      <c r="L91" s="3"/>
      <c r="M91" s="3"/>
      <c r="N91" s="3"/>
      <c r="O91" s="3"/>
      <c r="P91" s="3"/>
      <c r="Q91" s="3"/>
    </row>
    <row r="92" spans="1:17" customFormat="1" x14ac:dyDescent="0.25">
      <c r="A92" s="3"/>
      <c r="B92" s="3"/>
      <c r="C92" s="3"/>
      <c r="D92" s="3"/>
      <c r="E92" s="3"/>
      <c r="F92" s="3"/>
      <c r="G92" s="3"/>
      <c r="H92" s="70"/>
      <c r="I92" s="105"/>
      <c r="J92" s="3"/>
      <c r="K92" s="3"/>
      <c r="L92" s="3"/>
      <c r="M92" s="3"/>
      <c r="N92" s="3"/>
      <c r="O92" s="3"/>
      <c r="P92" s="3"/>
      <c r="Q92" s="3"/>
    </row>
    <row r="93" spans="1:17" customFormat="1" ht="15.75" x14ac:dyDescent="0.25">
      <c r="A93" s="1" t="s">
        <v>35</v>
      </c>
      <c r="B93" s="4"/>
      <c r="C93" s="4"/>
      <c r="D93" s="4" t="s">
        <v>1</v>
      </c>
      <c r="E93" s="5" t="str">
        <f>E1</f>
        <v>RTH Restoration Housing L.P.</v>
      </c>
      <c r="F93" s="5"/>
      <c r="G93" s="5"/>
      <c r="H93" s="69" t="s">
        <v>2</v>
      </c>
      <c r="I93" s="106">
        <f>I1</f>
        <v>16</v>
      </c>
      <c r="J93" s="27"/>
      <c r="N93" s="3"/>
      <c r="O93" s="3"/>
      <c r="P93" s="3"/>
      <c r="Q93" s="3"/>
    </row>
    <row r="94" spans="1:17" customFormat="1" ht="15.75" x14ac:dyDescent="0.25">
      <c r="A94" s="1" t="s">
        <v>36</v>
      </c>
      <c r="B94" s="4"/>
      <c r="C94" s="4"/>
      <c r="D94" s="4" t="s">
        <v>4</v>
      </c>
      <c r="E94" s="5" t="str">
        <f>E2</f>
        <v>RTH Restoration</v>
      </c>
      <c r="F94" s="5"/>
      <c r="G94" s="5"/>
      <c r="H94" s="69" t="s">
        <v>5</v>
      </c>
      <c r="I94" s="93">
        <v>42735</v>
      </c>
      <c r="J94" s="27"/>
      <c r="N94" s="3"/>
      <c r="O94" s="3"/>
      <c r="P94" s="3"/>
      <c r="Q94" s="3"/>
    </row>
    <row r="95" spans="1:17" customFormat="1" x14ac:dyDescent="0.25">
      <c r="A95" s="4" t="s">
        <v>37</v>
      </c>
      <c r="D95" s="4" t="s">
        <v>7</v>
      </c>
      <c r="E95" s="5"/>
      <c r="F95" s="5"/>
      <c r="G95" s="5"/>
      <c r="H95" s="70"/>
      <c r="I95" s="94"/>
      <c r="J95" s="26"/>
      <c r="N95" s="3"/>
      <c r="O95" s="3"/>
      <c r="P95" s="3"/>
      <c r="Q95" s="3"/>
    </row>
    <row r="96" spans="1:17" customFormat="1" x14ac:dyDescent="0.25">
      <c r="A96" s="22"/>
      <c r="B96" s="3"/>
      <c r="C96" s="3"/>
      <c r="D96" s="3"/>
      <c r="E96" s="3"/>
      <c r="F96" s="3"/>
      <c r="G96" s="3"/>
      <c r="H96" s="70"/>
      <c r="I96" s="105"/>
      <c r="J96" s="26"/>
      <c r="K96" s="3"/>
      <c r="L96" s="3"/>
      <c r="M96" s="3"/>
      <c r="N96" s="3"/>
      <c r="O96" s="3"/>
      <c r="P96" s="3"/>
      <c r="Q96" s="3"/>
    </row>
    <row r="97" spans="1:17" customFormat="1" x14ac:dyDescent="0.25">
      <c r="A97" s="22"/>
      <c r="B97" s="3"/>
      <c r="C97" s="3"/>
      <c r="D97" s="8"/>
      <c r="E97" s="8"/>
      <c r="F97" s="8"/>
      <c r="G97" s="8"/>
      <c r="H97" s="71" t="s">
        <v>12</v>
      </c>
      <c r="I97" s="95"/>
      <c r="J97" s="28"/>
      <c r="K97" s="8"/>
      <c r="L97" s="8"/>
      <c r="M97" s="8" t="s">
        <v>67</v>
      </c>
      <c r="N97" s="3"/>
      <c r="O97" s="3"/>
      <c r="P97" s="3"/>
      <c r="Q97" s="3"/>
    </row>
    <row r="98" spans="1:17" customFormat="1" x14ac:dyDescent="0.25">
      <c r="A98" s="22"/>
      <c r="B98" s="3"/>
      <c r="C98" s="3"/>
      <c r="D98" s="9"/>
      <c r="E98" s="9" t="s">
        <v>9</v>
      </c>
      <c r="F98" s="9" t="s">
        <v>10</v>
      </c>
      <c r="G98" s="9" t="s">
        <v>11</v>
      </c>
      <c r="H98" s="72" t="s">
        <v>18</v>
      </c>
      <c r="I98" s="96" t="s">
        <v>13</v>
      </c>
      <c r="J98" s="29" t="s">
        <v>14</v>
      </c>
      <c r="K98" s="9" t="s">
        <v>15</v>
      </c>
      <c r="L98" s="9" t="s">
        <v>65</v>
      </c>
      <c r="M98" s="9" t="s">
        <v>68</v>
      </c>
      <c r="N98" s="3"/>
      <c r="O98" s="3"/>
      <c r="P98" s="3"/>
      <c r="Q98" s="3"/>
    </row>
    <row r="99" spans="1:17" customFormat="1" ht="15.75" thickBot="1" x14ac:dyDescent="0.3">
      <c r="A99" s="2" t="s">
        <v>38</v>
      </c>
      <c r="B99" s="3"/>
      <c r="C99" s="3"/>
      <c r="D99" s="10" t="s">
        <v>9</v>
      </c>
      <c r="E99" s="10" t="s">
        <v>16</v>
      </c>
      <c r="F99" s="10" t="s">
        <v>9</v>
      </c>
      <c r="G99" s="10" t="s">
        <v>17</v>
      </c>
      <c r="H99" s="73" t="s">
        <v>39</v>
      </c>
      <c r="I99" s="97" t="s">
        <v>19</v>
      </c>
      <c r="J99" s="30" t="s">
        <v>19</v>
      </c>
      <c r="K99" s="10" t="s">
        <v>20</v>
      </c>
      <c r="L99" s="10" t="s">
        <v>66</v>
      </c>
      <c r="M99" s="10" t="s">
        <v>69</v>
      </c>
      <c r="N99" s="3"/>
      <c r="O99" s="3"/>
      <c r="P99" s="3"/>
      <c r="Q99" s="3"/>
    </row>
    <row r="100" spans="1:17" customFormat="1" x14ac:dyDescent="0.25">
      <c r="A100" s="31" t="str">
        <f>[1]Monthly_Requisitions!A50</f>
        <v>Bond Proceeds</v>
      </c>
      <c r="B100" s="3"/>
      <c r="C100" s="3"/>
      <c r="D100" s="19">
        <v>16800000</v>
      </c>
      <c r="E100" s="13"/>
      <c r="F100" s="13">
        <f t="shared" ref="F100:F112" si="15">+D100+E100</f>
        <v>16800000</v>
      </c>
      <c r="G100" s="13">
        <v>16800000</v>
      </c>
      <c r="H100" s="65">
        <v>0</v>
      </c>
      <c r="I100" s="99">
        <f t="shared" ref="I100:I112" si="16">+G100+H100</f>
        <v>16800000</v>
      </c>
      <c r="J100" s="14">
        <f t="shared" ref="J100:J112" si="17">+I100/F100</f>
        <v>1</v>
      </c>
      <c r="K100" s="115">
        <f t="shared" ref="K100:K110" si="18">+F100-I100</f>
        <v>0</v>
      </c>
      <c r="L100" s="13">
        <f>I100</f>
        <v>16800000</v>
      </c>
      <c r="M100" s="115">
        <f>F100-L100</f>
        <v>0</v>
      </c>
      <c r="N100" s="3"/>
      <c r="O100" s="3"/>
      <c r="P100" s="3"/>
      <c r="Q100" s="3"/>
    </row>
    <row r="101" spans="1:17" customFormat="1" x14ac:dyDescent="0.25">
      <c r="A101" s="31" t="str">
        <f>[1]Monthly_Requisitions!A51</f>
        <v>Repayment of Bond</v>
      </c>
      <c r="B101" s="3"/>
      <c r="C101" s="3"/>
      <c r="D101" s="19">
        <v>-16800000</v>
      </c>
      <c r="E101" s="13"/>
      <c r="F101" s="13">
        <f t="shared" si="15"/>
        <v>-16800000</v>
      </c>
      <c r="G101" s="13">
        <v>0</v>
      </c>
      <c r="H101" s="65">
        <f>F101</f>
        <v>-16800000</v>
      </c>
      <c r="I101" s="99">
        <f t="shared" si="16"/>
        <v>-16800000</v>
      </c>
      <c r="J101" s="14">
        <f t="shared" si="17"/>
        <v>1</v>
      </c>
      <c r="K101" s="115">
        <f t="shared" si="18"/>
        <v>0</v>
      </c>
      <c r="L101" s="13">
        <f>I101</f>
        <v>-16800000</v>
      </c>
      <c r="M101" s="115">
        <f t="shared" ref="M101:M112" si="19">F101-L101</f>
        <v>0</v>
      </c>
      <c r="N101" s="3"/>
      <c r="O101" s="3"/>
      <c r="P101" s="3"/>
      <c r="Q101" s="3"/>
    </row>
    <row r="102" spans="1:17" customFormat="1" x14ac:dyDescent="0.25">
      <c r="A102" s="31" t="str">
        <f>[1]Monthly_Requisitions!A52</f>
        <v>Sponsor Bridge Loan</v>
      </c>
      <c r="B102" s="3"/>
      <c r="C102" s="3"/>
      <c r="D102" s="19">
        <v>100000</v>
      </c>
      <c r="E102" s="13"/>
      <c r="F102" s="13">
        <f t="shared" si="15"/>
        <v>100000</v>
      </c>
      <c r="G102" s="13">
        <v>0</v>
      </c>
      <c r="H102" s="65">
        <f t="shared" ref="H102:H103" si="20">F102</f>
        <v>100000</v>
      </c>
      <c r="I102" s="99">
        <f t="shared" si="16"/>
        <v>100000</v>
      </c>
      <c r="J102" s="14">
        <f t="shared" si="17"/>
        <v>1</v>
      </c>
      <c r="K102" s="115">
        <f t="shared" si="18"/>
        <v>0</v>
      </c>
      <c r="L102" s="13">
        <f>I102</f>
        <v>100000</v>
      </c>
      <c r="M102" s="115">
        <f t="shared" si="19"/>
        <v>0</v>
      </c>
      <c r="N102" s="3"/>
      <c r="O102" s="3"/>
      <c r="P102" s="3"/>
      <c r="Q102" s="3"/>
    </row>
    <row r="103" spans="1:17" customFormat="1" x14ac:dyDescent="0.25">
      <c r="A103" s="31" t="str">
        <f>[1]Monthly_Requisitions!A53</f>
        <v>Repayment of Sponsor Bridge Loan</v>
      </c>
      <c r="B103" s="3"/>
      <c r="C103" s="3"/>
      <c r="D103" s="19">
        <v>-100000</v>
      </c>
      <c r="E103" s="13"/>
      <c r="F103" s="13">
        <f t="shared" si="15"/>
        <v>-100000</v>
      </c>
      <c r="G103" s="13">
        <v>0</v>
      </c>
      <c r="H103" s="65">
        <f t="shared" si="20"/>
        <v>-100000</v>
      </c>
      <c r="I103" s="99">
        <f t="shared" si="16"/>
        <v>-100000</v>
      </c>
      <c r="J103" s="14">
        <f t="shared" si="17"/>
        <v>1</v>
      </c>
      <c r="K103" s="115">
        <f t="shared" si="18"/>
        <v>0</v>
      </c>
      <c r="L103" s="13">
        <f>I103</f>
        <v>-100000</v>
      </c>
      <c r="M103" s="115">
        <f t="shared" si="19"/>
        <v>0</v>
      </c>
      <c r="N103" s="3"/>
      <c r="O103" s="3"/>
      <c r="P103" s="3"/>
      <c r="Q103" s="3"/>
    </row>
    <row r="104" spans="1:17" customFormat="1" x14ac:dyDescent="0.25">
      <c r="A104" s="31" t="str">
        <f>[1]Monthly_Requisitions!A54</f>
        <v>Permanent Loan</v>
      </c>
      <c r="B104" s="3"/>
      <c r="C104" s="3"/>
      <c r="D104" s="19">
        <v>7715000</v>
      </c>
      <c r="E104" s="13"/>
      <c r="F104" s="13">
        <f t="shared" si="15"/>
        <v>7715000</v>
      </c>
      <c r="G104" s="13">
        <v>0</v>
      </c>
      <c r="H104" s="65">
        <f>F104</f>
        <v>7715000</v>
      </c>
      <c r="I104" s="99">
        <f t="shared" si="16"/>
        <v>7715000</v>
      </c>
      <c r="J104" s="14">
        <f t="shared" si="17"/>
        <v>1</v>
      </c>
      <c r="K104" s="115">
        <f t="shared" si="18"/>
        <v>0</v>
      </c>
      <c r="L104" s="13">
        <f>I104</f>
        <v>7715000</v>
      </c>
      <c r="M104" s="115">
        <f t="shared" si="19"/>
        <v>0</v>
      </c>
    </row>
    <row r="105" spans="1:17" customFormat="1" x14ac:dyDescent="0.25">
      <c r="A105" s="31" t="str">
        <f>[1]Monthly_Requisitions!A55</f>
        <v>4% Tax Credit Equity</v>
      </c>
      <c r="B105" s="3"/>
      <c r="C105" s="3"/>
      <c r="D105" s="19">
        <v>9346035</v>
      </c>
      <c r="E105" s="13">
        <v>-249402</v>
      </c>
      <c r="F105" s="13">
        <f t="shared" si="15"/>
        <v>9096633</v>
      </c>
      <c r="G105" s="13">
        <v>1924256.85</v>
      </c>
      <c r="H105" s="65">
        <f>F105-G105</f>
        <v>7172376.1500000004</v>
      </c>
      <c r="I105" s="99">
        <f t="shared" si="16"/>
        <v>9096633</v>
      </c>
      <c r="J105" s="14">
        <f t="shared" si="17"/>
        <v>1</v>
      </c>
      <c r="K105" s="115">
        <f t="shared" si="18"/>
        <v>0</v>
      </c>
      <c r="L105" s="13">
        <f>I105</f>
        <v>9096633</v>
      </c>
      <c r="M105" s="115">
        <f t="shared" si="19"/>
        <v>0</v>
      </c>
    </row>
    <row r="106" spans="1:17" customFormat="1" x14ac:dyDescent="0.25">
      <c r="A106" s="31" t="str">
        <f>[1]Monthly_Requisitions!A56</f>
        <v>Fed HTC Equity</v>
      </c>
      <c r="B106" s="3"/>
      <c r="C106" s="3"/>
      <c r="D106" s="19">
        <f>2577413+463</f>
        <v>2577876</v>
      </c>
      <c r="E106" s="13">
        <f>54373</f>
        <v>54373</v>
      </c>
      <c r="F106" s="13">
        <f t="shared" si="15"/>
        <v>2632249</v>
      </c>
      <c r="G106" s="13">
        <f>463054</f>
        <v>463054</v>
      </c>
      <c r="H106" s="65">
        <f>2196785+463</f>
        <v>2197248</v>
      </c>
      <c r="I106" s="99">
        <f t="shared" si="16"/>
        <v>2660302</v>
      </c>
      <c r="J106" s="14">
        <f t="shared" si="17"/>
        <v>1.0106574264060886</v>
      </c>
      <c r="K106" s="115">
        <v>0</v>
      </c>
      <c r="L106" s="13">
        <f>I106</f>
        <v>2660302</v>
      </c>
      <c r="M106" s="115">
        <f>F106-L106</f>
        <v>-28053</v>
      </c>
    </row>
    <row r="107" spans="1:17" customFormat="1" x14ac:dyDescent="0.25">
      <c r="A107" s="31" t="str">
        <f>[1]Monthly_Requisitions!A57</f>
        <v>State HTC Equity</v>
      </c>
      <c r="B107" s="3"/>
      <c r="C107" s="3"/>
      <c r="D107" s="19">
        <f>1827500</f>
        <v>1827500</v>
      </c>
      <c r="E107" s="13">
        <f>-43000</f>
        <v>-43000</v>
      </c>
      <c r="F107" s="13">
        <f t="shared" si="15"/>
        <v>1784500</v>
      </c>
      <c r="G107" s="13"/>
      <c r="H107" s="65">
        <v>1827500</v>
      </c>
      <c r="I107" s="99">
        <f t="shared" si="16"/>
        <v>1827500</v>
      </c>
      <c r="J107" s="14">
        <f t="shared" si="17"/>
        <v>1.0240963855421688</v>
      </c>
      <c r="K107" s="115">
        <v>0</v>
      </c>
      <c r="L107" s="13">
        <f>I107</f>
        <v>1827500</v>
      </c>
      <c r="M107" s="115">
        <f t="shared" si="19"/>
        <v>-43000</v>
      </c>
    </row>
    <row r="108" spans="1:17" customFormat="1" x14ac:dyDescent="0.25">
      <c r="A108" s="31" t="str">
        <f>[1]Monthly_Requisitions!A58</f>
        <v>RTH Sponsor Note</v>
      </c>
      <c r="B108" s="3"/>
      <c r="C108" s="3"/>
      <c r="D108" s="19">
        <v>9980879</v>
      </c>
      <c r="E108" s="13"/>
      <c r="F108" s="13">
        <f t="shared" si="15"/>
        <v>9980879</v>
      </c>
      <c r="G108" s="13">
        <v>9980879</v>
      </c>
      <c r="H108" s="65">
        <v>0</v>
      </c>
      <c r="I108" s="99">
        <f t="shared" si="16"/>
        <v>9980879</v>
      </c>
      <c r="J108" s="14">
        <f t="shared" si="17"/>
        <v>1</v>
      </c>
      <c r="K108" s="115">
        <f t="shared" si="18"/>
        <v>0</v>
      </c>
      <c r="L108" s="13">
        <f>I108</f>
        <v>9980879</v>
      </c>
      <c r="M108" s="115">
        <f t="shared" si="19"/>
        <v>0</v>
      </c>
    </row>
    <row r="109" spans="1:17" customFormat="1" x14ac:dyDescent="0.25">
      <c r="A109" s="31" t="str">
        <f>[1]Monthly_Requisitions!A59</f>
        <v>4% Legal Contribution</v>
      </c>
      <c r="B109" s="3"/>
      <c r="C109" s="3"/>
      <c r="D109" s="19">
        <v>91250</v>
      </c>
      <c r="E109" s="13">
        <v>2500</v>
      </c>
      <c r="F109" s="13">
        <f t="shared" si="15"/>
        <v>93750</v>
      </c>
      <c r="G109" s="13">
        <v>93750</v>
      </c>
      <c r="H109" s="65">
        <v>0</v>
      </c>
      <c r="I109" s="99">
        <f t="shared" si="16"/>
        <v>93750</v>
      </c>
      <c r="J109" s="14">
        <f t="shared" si="17"/>
        <v>1</v>
      </c>
      <c r="K109" s="115">
        <f t="shared" si="18"/>
        <v>0</v>
      </c>
      <c r="L109" s="13">
        <f>I109</f>
        <v>93750</v>
      </c>
      <c r="M109" s="115">
        <f t="shared" si="19"/>
        <v>0</v>
      </c>
    </row>
    <row r="110" spans="1:17" customFormat="1" x14ac:dyDescent="0.25">
      <c r="A110" s="31" t="str">
        <f>[1]Monthly_Requisitions!A60</f>
        <v>Replacement Reserve Loan</v>
      </c>
      <c r="B110" s="3"/>
      <c r="C110" s="3"/>
      <c r="D110" s="19">
        <v>1634293</v>
      </c>
      <c r="E110" s="13"/>
      <c r="F110" s="13">
        <f t="shared" si="15"/>
        <v>1634293</v>
      </c>
      <c r="G110" s="13">
        <v>1634293</v>
      </c>
      <c r="H110" s="65">
        <v>0</v>
      </c>
      <c r="I110" s="99">
        <f t="shared" si="16"/>
        <v>1634293</v>
      </c>
      <c r="J110" s="14">
        <f t="shared" si="17"/>
        <v>1</v>
      </c>
      <c r="K110" s="115">
        <f t="shared" si="18"/>
        <v>0</v>
      </c>
      <c r="L110" s="13">
        <f>I110</f>
        <v>1634293</v>
      </c>
      <c r="M110" s="115">
        <f t="shared" si="19"/>
        <v>0</v>
      </c>
      <c r="N110" s="3"/>
      <c r="O110" s="3"/>
      <c r="P110" s="3"/>
      <c r="Q110" s="3"/>
    </row>
    <row r="111" spans="1:17" customFormat="1" x14ac:dyDescent="0.25">
      <c r="A111" s="31" t="str">
        <f>[1]Monthly_Requisitions!A61</f>
        <v>Deferred Fee</v>
      </c>
      <c r="B111" s="3"/>
      <c r="C111" s="3"/>
      <c r="D111" s="19">
        <v>372500</v>
      </c>
      <c r="E111" s="13">
        <v>128055</v>
      </c>
      <c r="F111" s="13">
        <f t="shared" si="15"/>
        <v>500555</v>
      </c>
      <c r="G111" s="13"/>
      <c r="H111" s="65">
        <v>372500</v>
      </c>
      <c r="I111" s="99">
        <f t="shared" si="16"/>
        <v>372500</v>
      </c>
      <c r="J111" s="14">
        <f t="shared" si="17"/>
        <v>0.74417396689674464</v>
      </c>
      <c r="K111" s="115">
        <v>0</v>
      </c>
      <c r="L111" s="13">
        <f>I111</f>
        <v>372500</v>
      </c>
      <c r="M111" s="115">
        <f t="shared" si="19"/>
        <v>128055</v>
      </c>
      <c r="N111" s="3"/>
      <c r="O111" s="3"/>
      <c r="P111" s="3"/>
      <c r="Q111" s="3"/>
    </row>
    <row r="112" spans="1:17" customFormat="1" x14ac:dyDescent="0.25">
      <c r="A112" s="4" t="s">
        <v>40</v>
      </c>
      <c r="B112" s="3"/>
      <c r="C112" s="3"/>
      <c r="D112" s="19"/>
      <c r="E112" s="13">
        <v>790237</v>
      </c>
      <c r="F112" s="13">
        <f t="shared" si="15"/>
        <v>790237</v>
      </c>
      <c r="G112" s="13">
        <v>385242</v>
      </c>
      <c r="H112" s="65">
        <v>320654</v>
      </c>
      <c r="I112" s="99">
        <f t="shared" si="16"/>
        <v>705896</v>
      </c>
      <c r="J112" s="14">
        <f t="shared" si="17"/>
        <v>0.89327125912859051</v>
      </c>
      <c r="K112" s="13">
        <f>847239-705896</f>
        <v>141343</v>
      </c>
      <c r="L112" s="13">
        <f>I112+K112</f>
        <v>847239</v>
      </c>
      <c r="M112" s="115">
        <f t="shared" si="19"/>
        <v>-57002</v>
      </c>
      <c r="N112" s="3"/>
      <c r="O112" s="3"/>
      <c r="P112" s="3"/>
      <c r="Q112" s="3"/>
    </row>
    <row r="113" spans="1:17" customFormat="1" ht="15.75" thickBot="1" x14ac:dyDescent="0.3">
      <c r="A113" s="23" t="s">
        <v>34</v>
      </c>
      <c r="B113" s="3"/>
      <c r="C113" s="3"/>
      <c r="D113" s="24">
        <f>SUM(D100:D112)</f>
        <v>33545333</v>
      </c>
      <c r="E113" s="24">
        <f t="shared" ref="E113:I113" si="21">SUM(E100:E112)</f>
        <v>682763</v>
      </c>
      <c r="F113" s="24">
        <f t="shared" si="21"/>
        <v>34228096</v>
      </c>
      <c r="G113" s="24">
        <f>SUM(G100:G112)</f>
        <v>31281474.850000001</v>
      </c>
      <c r="H113" s="66">
        <f>SUM(H100:H112)</f>
        <v>2805278.1500000004</v>
      </c>
      <c r="I113" s="103">
        <f t="shared" si="21"/>
        <v>34086753</v>
      </c>
      <c r="J113" s="114">
        <f>I113/F113</f>
        <v>0.99587055616532105</v>
      </c>
      <c r="K113" s="24">
        <f t="shared" ref="K113:L113" si="22">SUM(K100:K112)</f>
        <v>141343</v>
      </c>
      <c r="L113" s="24">
        <f t="shared" si="22"/>
        <v>34228096</v>
      </c>
      <c r="M113" s="116">
        <f t="shared" ref="M113" si="23">SUM(M100:M112)</f>
        <v>0</v>
      </c>
      <c r="N113" s="3"/>
      <c r="O113" s="3"/>
      <c r="P113" s="3"/>
      <c r="Q113" s="3"/>
    </row>
    <row r="114" spans="1:17" customFormat="1" ht="15.75" thickTop="1" x14ac:dyDescent="0.25">
      <c r="A114" s="3"/>
      <c r="B114" s="32"/>
      <c r="D114" s="25">
        <f>D50-D113</f>
        <v>-0.15956788137555122</v>
      </c>
      <c r="E114" s="25">
        <f t="shared" ref="E114:M114" si="24">E50-E113</f>
        <v>-0.40000000002328306</v>
      </c>
      <c r="F114" s="25">
        <f t="shared" si="24"/>
        <v>-0.3095678836107254</v>
      </c>
      <c r="G114" s="25">
        <f>G50-G113</f>
        <v>0.54999999701976776</v>
      </c>
      <c r="H114" s="25">
        <f t="shared" si="24"/>
        <v>9.999999962747097E-2</v>
      </c>
      <c r="I114" s="104">
        <f t="shared" si="24"/>
        <v>0.20000000298023224</v>
      </c>
      <c r="J114" s="25">
        <f t="shared" si="24"/>
        <v>2.9831004168008497</v>
      </c>
      <c r="K114" s="25">
        <f t="shared" si="24"/>
        <v>-0.41000000000349246</v>
      </c>
      <c r="L114" s="25">
        <f t="shared" si="24"/>
        <v>-0.21000000089406967</v>
      </c>
      <c r="M114" s="25">
        <f t="shared" si="24"/>
        <v>0.34956788003910333</v>
      </c>
      <c r="N114" s="3"/>
      <c r="O114" s="3"/>
      <c r="P114" s="3"/>
      <c r="Q114" s="3"/>
    </row>
    <row r="115" spans="1:17" customFormat="1" x14ac:dyDescent="0.25">
      <c r="A115" s="3"/>
      <c r="B115" s="33"/>
      <c r="D115" s="25"/>
      <c r="G115" s="3"/>
      <c r="H115" s="70"/>
      <c r="I115" s="94"/>
      <c r="K115" s="3"/>
      <c r="L115" s="3"/>
      <c r="M115" s="3"/>
      <c r="N115" s="3"/>
      <c r="O115" s="3"/>
      <c r="P115" s="3"/>
      <c r="Q115" s="3"/>
    </row>
    <row r="116" spans="1:17" customFormat="1" x14ac:dyDescent="0.25">
      <c r="A116" s="33"/>
      <c r="G116" s="3"/>
      <c r="H116" s="70"/>
      <c r="I116" s="94"/>
      <c r="K116" s="3"/>
      <c r="L116" s="3"/>
      <c r="M116" s="3"/>
      <c r="N116" s="3"/>
      <c r="O116" s="3"/>
      <c r="P116" s="3"/>
      <c r="Q116" s="3"/>
    </row>
    <row r="117" spans="1:17" customFormat="1" x14ac:dyDescent="0.25">
      <c r="A117" s="4" t="s">
        <v>41</v>
      </c>
      <c r="H117" s="70"/>
      <c r="I117" s="104">
        <f>I105+I106+I109</f>
        <v>11850685</v>
      </c>
      <c r="N117" s="3"/>
      <c r="O117" s="3"/>
      <c r="P117" s="3"/>
      <c r="Q117" s="3"/>
    </row>
    <row r="118" spans="1:17" customFormat="1" x14ac:dyDescent="0.25">
      <c r="H118" s="70"/>
      <c r="I118" s="94"/>
      <c r="N118" s="3"/>
      <c r="O118" s="3"/>
      <c r="P118" s="3"/>
      <c r="Q118" s="3"/>
    </row>
    <row r="119" spans="1:17" customFormat="1" x14ac:dyDescent="0.25">
      <c r="A119" s="5"/>
      <c r="B119" s="5"/>
      <c r="C119" s="5"/>
      <c r="D119" s="5"/>
      <c r="E119" s="5"/>
      <c r="G119" s="6">
        <v>42735</v>
      </c>
      <c r="H119" s="77"/>
      <c r="I119" s="94"/>
      <c r="N119" s="3"/>
      <c r="O119" s="3"/>
      <c r="P119" s="3"/>
      <c r="Q119" s="3"/>
    </row>
    <row r="120" spans="1:17" customFormat="1" x14ac:dyDescent="0.25">
      <c r="A120" s="4" t="s">
        <v>42</v>
      </c>
      <c r="G120" s="4" t="s">
        <v>43</v>
      </c>
      <c r="H120" s="70"/>
      <c r="I120" s="94"/>
      <c r="N120" s="3"/>
      <c r="O120" s="3"/>
      <c r="P120" s="3"/>
      <c r="Q120" s="3"/>
    </row>
    <row r="121" spans="1:17" customFormat="1" x14ac:dyDescent="0.25">
      <c r="H121" s="70"/>
      <c r="I121" s="94"/>
      <c r="N121" s="3"/>
      <c r="O121" s="3"/>
      <c r="P121" s="3"/>
      <c r="Q121" s="3"/>
    </row>
    <row r="122" spans="1:17" customFormat="1" ht="15.75" x14ac:dyDescent="0.25">
      <c r="A122" s="1" t="s">
        <v>44</v>
      </c>
      <c r="G122" s="34" t="s">
        <v>45</v>
      </c>
      <c r="H122" s="78"/>
      <c r="I122" s="107"/>
      <c r="J122" s="35"/>
      <c r="K122" s="36"/>
      <c r="L122" s="36"/>
      <c r="M122" s="36"/>
      <c r="N122" s="3"/>
      <c r="O122" s="3"/>
      <c r="P122" s="3"/>
      <c r="Q122" s="3"/>
    </row>
    <row r="123" spans="1:17" customFormat="1" ht="15.75" x14ac:dyDescent="0.25">
      <c r="A123" s="37" t="s">
        <v>46</v>
      </c>
      <c r="G123" s="38"/>
      <c r="H123" s="70"/>
      <c r="I123" s="94"/>
      <c r="K123" s="39"/>
      <c r="L123" s="39"/>
      <c r="M123" s="39"/>
      <c r="N123" s="3"/>
      <c r="O123" s="3"/>
      <c r="P123" s="3"/>
      <c r="Q123" s="3"/>
    </row>
    <row r="124" spans="1:17" customFormat="1" x14ac:dyDescent="0.25">
      <c r="A124" t="s">
        <v>47</v>
      </c>
      <c r="G124" s="40" t="s">
        <v>48</v>
      </c>
      <c r="H124" s="70"/>
      <c r="I124" s="94"/>
      <c r="K124" s="39"/>
      <c r="L124" s="39"/>
      <c r="M124" s="39"/>
      <c r="N124" s="3"/>
      <c r="O124" s="3"/>
      <c r="P124" s="3"/>
      <c r="Q124" s="3"/>
    </row>
    <row r="125" spans="1:17" customFormat="1" x14ac:dyDescent="0.25">
      <c r="G125" s="38"/>
      <c r="H125" s="70"/>
      <c r="I125" s="94"/>
      <c r="K125" s="39"/>
      <c r="L125" s="39"/>
      <c r="M125" s="39"/>
      <c r="N125" s="3"/>
      <c r="O125" s="3"/>
      <c r="P125" s="3"/>
      <c r="Q125" s="3"/>
    </row>
    <row r="126" spans="1:17" customFormat="1" x14ac:dyDescent="0.25">
      <c r="G126" s="40" t="s">
        <v>49</v>
      </c>
      <c r="H126" s="79"/>
      <c r="I126" s="108"/>
      <c r="J126" s="4"/>
      <c r="K126" s="42"/>
      <c r="L126" s="42"/>
      <c r="M126" s="42"/>
      <c r="N126" s="3"/>
      <c r="O126" s="3"/>
      <c r="P126" s="3"/>
      <c r="Q126" s="3"/>
    </row>
    <row r="127" spans="1:17" customFormat="1" x14ac:dyDescent="0.25">
      <c r="G127" s="40" t="s">
        <v>50</v>
      </c>
      <c r="H127" s="79"/>
      <c r="I127" s="108"/>
      <c r="J127" s="4"/>
      <c r="K127" s="42"/>
      <c r="L127" s="42"/>
      <c r="M127" s="42"/>
      <c r="N127" s="3"/>
      <c r="O127" s="3"/>
      <c r="P127" s="3"/>
      <c r="Q127" s="3"/>
    </row>
    <row r="128" spans="1:17" customFormat="1" x14ac:dyDescent="0.25">
      <c r="G128" s="40"/>
      <c r="H128" s="79"/>
      <c r="I128" s="108"/>
      <c r="J128" s="4"/>
      <c r="K128" s="42"/>
      <c r="L128" s="42"/>
      <c r="M128" s="42"/>
      <c r="N128" s="3"/>
      <c r="O128" s="3"/>
      <c r="P128" s="3"/>
      <c r="Q128" s="3"/>
    </row>
    <row r="129" spans="1:17" customFormat="1" x14ac:dyDescent="0.25">
      <c r="G129" s="40" t="s">
        <v>51</v>
      </c>
      <c r="H129" s="79"/>
      <c r="I129" s="108"/>
      <c r="J129" s="4"/>
      <c r="K129" s="42"/>
      <c r="L129" s="42"/>
      <c r="M129" s="42"/>
      <c r="N129" s="3"/>
      <c r="O129" s="3"/>
      <c r="P129" s="3"/>
      <c r="Q129" s="3"/>
    </row>
    <row r="130" spans="1:17" x14ac:dyDescent="0.25">
      <c r="A130"/>
      <c r="B130"/>
      <c r="C130"/>
      <c r="D130"/>
      <c r="E130"/>
      <c r="F130"/>
      <c r="G130" s="40" t="s">
        <v>52</v>
      </c>
      <c r="H130" s="79"/>
      <c r="I130" s="108"/>
      <c r="J130" s="4"/>
      <c r="K130" s="42"/>
      <c r="L130" s="42"/>
      <c r="M130" s="42"/>
    </row>
    <row r="131" spans="1:17" customFormat="1" x14ac:dyDescent="0.25">
      <c r="G131" s="40" t="s">
        <v>53</v>
      </c>
      <c r="H131" s="79"/>
      <c r="I131" s="108"/>
      <c r="J131" s="41"/>
      <c r="K131" s="43"/>
      <c r="L131" s="43"/>
      <c r="M131" s="43"/>
      <c r="N131" s="3"/>
      <c r="O131" s="3"/>
      <c r="P131" s="3"/>
      <c r="Q131" s="3"/>
    </row>
    <row r="132" spans="1:17" customFormat="1" x14ac:dyDescent="0.25">
      <c r="G132" s="38"/>
      <c r="H132" s="70"/>
      <c r="I132" s="94"/>
      <c r="K132" s="39"/>
      <c r="L132" s="39"/>
      <c r="M132" s="39"/>
      <c r="N132" s="3"/>
      <c r="O132" s="3"/>
      <c r="P132" s="3"/>
      <c r="Q132" s="3"/>
    </row>
    <row r="133" spans="1:17" customFormat="1" x14ac:dyDescent="0.25">
      <c r="G133" s="44" t="s">
        <v>54</v>
      </c>
      <c r="H133" s="70"/>
      <c r="I133" s="94"/>
      <c r="K133" s="39"/>
      <c r="L133" s="39"/>
      <c r="M133" s="39"/>
      <c r="N133" s="3"/>
      <c r="O133" s="3"/>
      <c r="P133" s="3"/>
      <c r="Q133" s="3"/>
    </row>
    <row r="134" spans="1:17" customFormat="1" x14ac:dyDescent="0.25">
      <c r="G134" s="38"/>
      <c r="H134" s="80" t="s">
        <v>55</v>
      </c>
      <c r="I134" s="109"/>
      <c r="J134" s="45"/>
      <c r="K134" s="46"/>
      <c r="L134" s="46"/>
      <c r="M134" s="46"/>
      <c r="N134" s="3"/>
      <c r="O134" s="3"/>
      <c r="P134" s="3"/>
      <c r="Q134" s="3"/>
    </row>
    <row r="135" spans="1:17" customFormat="1" x14ac:dyDescent="0.25">
      <c r="A135" s="4"/>
      <c r="B135" s="4"/>
      <c r="C135" s="4"/>
      <c r="D135" s="4"/>
      <c r="E135" s="4"/>
      <c r="F135" s="4"/>
      <c r="G135" s="44" t="s">
        <v>56</v>
      </c>
      <c r="H135" s="77"/>
      <c r="I135" s="110"/>
      <c r="K135" s="47"/>
      <c r="L135" s="47"/>
      <c r="M135" s="47"/>
      <c r="N135" s="3"/>
      <c r="O135" s="3"/>
      <c r="P135" s="3"/>
      <c r="Q135" s="3"/>
    </row>
    <row r="136" spans="1:17" customFormat="1" x14ac:dyDescent="0.25">
      <c r="G136" s="48"/>
      <c r="H136" s="77"/>
      <c r="I136" s="110"/>
      <c r="J136" s="5"/>
      <c r="K136" s="49"/>
      <c r="L136" s="49"/>
      <c r="M136" s="49"/>
      <c r="N136" s="3"/>
      <c r="O136" s="3"/>
      <c r="P136" s="3"/>
      <c r="Q136" s="3"/>
    </row>
    <row r="137" spans="1:17" customFormat="1" x14ac:dyDescent="0.25">
      <c r="A137" s="3"/>
      <c r="B137" s="3"/>
      <c r="C137" s="3"/>
      <c r="D137" s="3"/>
      <c r="E137" s="3"/>
      <c r="F137" s="3"/>
      <c r="G137" s="3"/>
      <c r="H137" s="70"/>
      <c r="I137" s="105"/>
      <c r="J137" s="3"/>
      <c r="K137" s="3"/>
      <c r="L137" s="3"/>
      <c r="M137" s="3"/>
      <c r="N137" s="3"/>
      <c r="O137" s="3"/>
      <c r="P137" s="3"/>
      <c r="Q137" s="3"/>
    </row>
    <row r="138" spans="1:17" customFormat="1" ht="15.75" thickBot="1" x14ac:dyDescent="0.3">
      <c r="A138" s="3"/>
      <c r="B138" s="3"/>
      <c r="C138" s="3"/>
      <c r="D138" s="3"/>
      <c r="E138" s="3"/>
      <c r="F138" s="3"/>
      <c r="G138" s="3"/>
      <c r="H138" s="70"/>
      <c r="I138" s="105"/>
      <c r="J138" s="3"/>
      <c r="K138" s="3"/>
      <c r="L138" s="3"/>
      <c r="M138" s="3"/>
      <c r="N138" s="3"/>
      <c r="O138" s="3"/>
      <c r="P138" s="3"/>
      <c r="Q138" s="3"/>
    </row>
    <row r="139" spans="1:17" customFormat="1" ht="15.75" thickBot="1" x14ac:dyDescent="0.3">
      <c r="A139" s="50" t="s">
        <v>57</v>
      </c>
      <c r="B139" s="50"/>
      <c r="C139" s="50"/>
      <c r="D139" s="51"/>
      <c r="E139" s="51"/>
      <c r="F139" s="51"/>
      <c r="G139" s="51"/>
      <c r="H139" s="81"/>
      <c r="I139" s="111"/>
      <c r="J139" s="52">
        <f>H100</f>
        <v>0</v>
      </c>
      <c r="K139" s="51"/>
      <c r="L139" s="51"/>
      <c r="M139" s="51"/>
      <c r="N139" s="3"/>
      <c r="O139" s="3"/>
      <c r="P139" s="3"/>
      <c r="Q139" s="3"/>
    </row>
    <row r="140" spans="1:17" customFormat="1" ht="15.75" thickBot="1" x14ac:dyDescent="0.3">
      <c r="A140" s="51"/>
      <c r="B140" s="51"/>
      <c r="C140" s="51"/>
      <c r="D140" s="51"/>
      <c r="E140" s="51"/>
      <c r="F140" s="51"/>
      <c r="G140" s="51"/>
      <c r="H140" s="81"/>
      <c r="I140" s="111"/>
      <c r="J140" s="51"/>
      <c r="K140" s="51"/>
      <c r="L140" s="51"/>
      <c r="M140" s="51"/>
      <c r="N140" s="3"/>
      <c r="O140" s="3"/>
      <c r="P140" s="3"/>
      <c r="Q140" s="3"/>
    </row>
    <row r="141" spans="1:17" customFormat="1" ht="15.75" thickBot="1" x14ac:dyDescent="0.3">
      <c r="A141" s="51" t="s">
        <v>58</v>
      </c>
      <c r="B141" s="51"/>
      <c r="C141" s="51"/>
      <c r="D141" s="51"/>
      <c r="E141" s="51"/>
      <c r="F141" s="51"/>
      <c r="G141" s="51"/>
      <c r="H141" s="81"/>
      <c r="I141" s="111"/>
      <c r="J141" s="53"/>
      <c r="K141" s="51"/>
      <c r="L141" s="51"/>
      <c r="M141" s="51"/>
      <c r="N141" s="3"/>
      <c r="O141" s="3"/>
      <c r="P141" s="3"/>
      <c r="Q141" s="3"/>
    </row>
    <row r="142" spans="1:17" customFormat="1" ht="15.75" thickBot="1" x14ac:dyDescent="0.3">
      <c r="A142" s="51"/>
      <c r="B142" s="51"/>
      <c r="C142" s="51"/>
      <c r="D142" s="51"/>
      <c r="E142" s="51"/>
      <c r="F142" s="51"/>
      <c r="G142" s="51"/>
      <c r="H142" s="81"/>
      <c r="I142" s="111"/>
      <c r="J142" s="51"/>
      <c r="K142" s="51"/>
      <c r="L142" s="51"/>
      <c r="M142" s="51"/>
      <c r="N142" s="3"/>
      <c r="O142" s="3"/>
      <c r="P142" s="3"/>
      <c r="Q142" s="3"/>
    </row>
    <row r="143" spans="1:17" ht="15.75" thickBot="1" x14ac:dyDescent="0.3">
      <c r="A143" s="50" t="s">
        <v>59</v>
      </c>
      <c r="B143" s="50"/>
      <c r="C143" s="50"/>
      <c r="D143" s="51"/>
      <c r="E143" s="51"/>
      <c r="F143" s="51"/>
      <c r="G143" s="51"/>
      <c r="H143" s="81"/>
      <c r="I143" s="111"/>
      <c r="J143" s="53"/>
      <c r="K143" s="51"/>
      <c r="L143" s="51"/>
      <c r="M143" s="51"/>
    </row>
    <row r="144" spans="1:17" x14ac:dyDescent="0.25">
      <c r="A144" s="51"/>
      <c r="B144" s="51"/>
      <c r="C144" s="51"/>
      <c r="D144" s="51"/>
      <c r="E144" s="51"/>
      <c r="F144" s="51"/>
      <c r="G144" s="51"/>
      <c r="H144" s="81"/>
      <c r="I144" s="111"/>
      <c r="J144" s="51"/>
      <c r="K144" s="51"/>
      <c r="L144" s="51"/>
      <c r="M144" s="51"/>
    </row>
    <row r="145" spans="1:13" ht="15.75" thickBot="1" x14ac:dyDescent="0.3">
      <c r="A145" s="54" t="s">
        <v>60</v>
      </c>
      <c r="B145" s="51"/>
      <c r="C145" s="51"/>
      <c r="D145" s="51"/>
      <c r="E145" s="51"/>
      <c r="F145" s="51"/>
      <c r="G145" s="51"/>
      <c r="H145" s="81"/>
      <c r="I145" s="111"/>
      <c r="J145" s="51"/>
      <c r="K145" s="51"/>
      <c r="L145" s="51"/>
      <c r="M145" s="51"/>
    </row>
    <row r="146" spans="1:13" ht="15.75" thickBot="1" x14ac:dyDescent="0.3">
      <c r="A146" s="55" t="s">
        <v>61</v>
      </c>
      <c r="B146" s="56"/>
      <c r="C146" s="56"/>
      <c r="D146" s="56"/>
      <c r="E146" s="57"/>
      <c r="F146" s="51"/>
      <c r="G146" s="58" t="s">
        <v>54</v>
      </c>
      <c r="H146" s="81"/>
      <c r="I146" s="111"/>
      <c r="J146" s="51"/>
      <c r="K146" s="51"/>
      <c r="L146" s="51"/>
      <c r="M146" s="51"/>
    </row>
    <row r="147" spans="1:13" x14ac:dyDescent="0.25">
      <c r="A147" s="55" t="s">
        <v>62</v>
      </c>
      <c r="B147" s="55"/>
      <c r="C147" s="55"/>
      <c r="D147" s="51"/>
      <c r="E147" s="59"/>
      <c r="F147" s="51"/>
      <c r="G147" s="51"/>
      <c r="H147" s="82" t="s">
        <v>63</v>
      </c>
      <c r="I147" s="112"/>
      <c r="J147" s="56"/>
      <c r="K147" s="56"/>
      <c r="L147" s="56"/>
      <c r="M147" s="56"/>
    </row>
    <row r="148" spans="1:13" x14ac:dyDescent="0.25">
      <c r="A148" s="60" t="s">
        <v>64</v>
      </c>
      <c r="B148" s="60"/>
      <c r="C148" s="60"/>
      <c r="D148" s="60"/>
      <c r="E148" s="60"/>
      <c r="F148" s="51"/>
      <c r="G148" s="51"/>
      <c r="H148" s="81"/>
      <c r="I148" s="111"/>
      <c r="J148" s="51"/>
      <c r="K148" s="51"/>
      <c r="L148" s="51"/>
      <c r="M148" s="51"/>
    </row>
    <row r="149" spans="1:13" ht="15.75" thickBot="1" x14ac:dyDescent="0.3">
      <c r="A149" s="61"/>
      <c r="B149" s="61"/>
      <c r="C149" s="61"/>
      <c r="D149" s="61"/>
      <c r="E149" s="62"/>
      <c r="F149" s="63"/>
      <c r="G149" s="64" t="s">
        <v>56</v>
      </c>
      <c r="H149" s="83"/>
      <c r="I149" s="113"/>
      <c r="J149"/>
      <c r="K149"/>
      <c r="L149"/>
      <c r="M149"/>
    </row>
  </sheetData>
  <sheetProtection algorithmName="SHA-512" hashValue="RB1Ho0PEUVt7RSBVIu+/1ptMolS7ekMpuxkkA2aEtlG2jjhir6unwhJUwEDPRUKRzQVjJSSd9kvHeyQY6wKEjg==" saltValue="GZCzFX6CAmJcY+nnDWUvPw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  <ignoredErrors>
    <ignoredError sqref="L11:L13 L16 F50 I36 J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9ABD-16B0-4E8B-B539-C64465338DF9}">
  <dimension ref="A1:R149"/>
  <sheetViews>
    <sheetView workbookViewId="0">
      <selection activeCell="G24" sqref="G24"/>
    </sheetView>
  </sheetViews>
  <sheetFormatPr defaultColWidth="13.7109375" defaultRowHeight="15" x14ac:dyDescent="0.25"/>
  <cols>
    <col min="1" max="1" width="18.42578125" style="3" customWidth="1"/>
    <col min="2" max="2" width="13.7109375" style="3"/>
    <col min="3" max="3" width="19.28515625" style="3" customWidth="1"/>
    <col min="4" max="4" width="16.28515625" style="3" bestFit="1" customWidth="1"/>
    <col min="5" max="5" width="14.7109375" style="3" bestFit="1" customWidth="1"/>
    <col min="6" max="7" width="16.28515625" style="3" bestFit="1" customWidth="1"/>
    <col min="8" max="8" width="17.7109375" style="70" customWidth="1"/>
    <col min="9" max="9" width="16.28515625" style="105" bestFit="1" customWidth="1"/>
    <col min="10" max="10" width="14.28515625" style="3" bestFit="1" customWidth="1"/>
    <col min="11" max="13" width="18.85546875" style="3" customWidth="1"/>
    <col min="14" max="14" width="15.140625" style="3" customWidth="1"/>
    <col min="15" max="15" width="13.85546875" style="3" bestFit="1" customWidth="1"/>
    <col min="16" max="16" width="16.28515625" style="3" customWidth="1"/>
    <col min="17" max="16384" width="13.7109375" style="3"/>
  </cols>
  <sheetData>
    <row r="1" spans="1:13" ht="15.75" x14ac:dyDescent="0.25">
      <c r="A1" s="1" t="s">
        <v>0</v>
      </c>
      <c r="B1" s="2"/>
      <c r="D1" s="4" t="s">
        <v>1</v>
      </c>
      <c r="E1" s="5" t="str">
        <f>[1]REQFORM_2!E1</f>
        <v>RTH Restoration Housing L.P.</v>
      </c>
      <c r="F1" s="5"/>
      <c r="G1" s="5"/>
      <c r="H1" s="69" t="s">
        <v>2</v>
      </c>
      <c r="I1" s="92">
        <v>16</v>
      </c>
      <c r="J1" s="5"/>
    </row>
    <row r="2" spans="1:13" ht="15.75" x14ac:dyDescent="0.25">
      <c r="A2" s="1" t="s">
        <v>3</v>
      </c>
      <c r="D2" s="4" t="s">
        <v>4</v>
      </c>
      <c r="E2" s="5" t="str">
        <f>[1]REQFORM_2!E2</f>
        <v>RTH Restoration</v>
      </c>
      <c r="F2" s="5"/>
      <c r="G2" s="5"/>
      <c r="H2" s="69" t="s">
        <v>5</v>
      </c>
      <c r="I2" s="93">
        <v>42735</v>
      </c>
      <c r="J2" s="5"/>
    </row>
    <row r="3" spans="1:13" x14ac:dyDescent="0.25">
      <c r="A3" s="4" t="s">
        <v>6</v>
      </c>
      <c r="B3" s="7"/>
      <c r="D3" s="4" t="s">
        <v>7</v>
      </c>
      <c r="E3" s="5"/>
      <c r="F3" s="5"/>
      <c r="G3" s="5"/>
      <c r="I3" s="94"/>
      <c r="J3"/>
    </row>
    <row r="4" spans="1:13" x14ac:dyDescent="0.25">
      <c r="A4" s="2"/>
      <c r="B4" s="7"/>
      <c r="D4"/>
      <c r="E4"/>
      <c r="F4"/>
      <c r="G4"/>
      <c r="I4" s="94"/>
      <c r="J4"/>
    </row>
    <row r="5" spans="1:13" ht="3" customHeight="1" x14ac:dyDescent="0.25">
      <c r="D5" s="8"/>
      <c r="E5" s="8"/>
      <c r="F5" s="8"/>
      <c r="G5" s="8"/>
      <c r="H5" s="71"/>
      <c r="I5" s="95"/>
      <c r="J5" s="8"/>
      <c r="K5" s="8"/>
      <c r="L5" s="8"/>
      <c r="M5" s="8"/>
    </row>
    <row r="6" spans="1:13" x14ac:dyDescent="0.25">
      <c r="D6" s="9"/>
      <c r="E6" s="9"/>
      <c r="F6" s="9"/>
      <c r="G6" s="9"/>
      <c r="H6" s="72"/>
      <c r="I6" s="96"/>
      <c r="J6" s="9"/>
      <c r="K6" s="9"/>
      <c r="L6" s="8"/>
      <c r="M6" s="8" t="s">
        <v>67</v>
      </c>
    </row>
    <row r="7" spans="1:13" x14ac:dyDescent="0.25">
      <c r="D7" s="9" t="s">
        <v>8</v>
      </c>
      <c r="E7" s="9" t="s">
        <v>9</v>
      </c>
      <c r="F7" s="9" t="s">
        <v>10</v>
      </c>
      <c r="G7" s="9" t="s">
        <v>11</v>
      </c>
      <c r="H7" s="72" t="s">
        <v>12</v>
      </c>
      <c r="I7" s="96" t="s">
        <v>13</v>
      </c>
      <c r="J7" s="9" t="s">
        <v>14</v>
      </c>
      <c r="K7" s="9" t="s">
        <v>15</v>
      </c>
      <c r="L7" s="9" t="s">
        <v>65</v>
      </c>
      <c r="M7" s="9" t="s">
        <v>68</v>
      </c>
    </row>
    <row r="8" spans="1:13" ht="15.75" thickBot="1" x14ac:dyDescent="0.3">
      <c r="D8" s="10" t="s">
        <v>9</v>
      </c>
      <c r="E8" s="10" t="s">
        <v>16</v>
      </c>
      <c r="F8" s="10" t="s">
        <v>9</v>
      </c>
      <c r="G8" s="10" t="s">
        <v>17</v>
      </c>
      <c r="H8" s="73" t="s">
        <v>18</v>
      </c>
      <c r="I8" s="97" t="s">
        <v>19</v>
      </c>
      <c r="J8" s="10" t="s">
        <v>19</v>
      </c>
      <c r="K8" s="10" t="s">
        <v>20</v>
      </c>
      <c r="L8" s="10" t="s">
        <v>66</v>
      </c>
      <c r="M8" s="10" t="s">
        <v>69</v>
      </c>
    </row>
    <row r="9" spans="1:13" x14ac:dyDescent="0.25">
      <c r="A9" s="12" t="s">
        <v>21</v>
      </c>
      <c r="D9" s="11"/>
      <c r="E9" s="11"/>
      <c r="F9" s="11"/>
      <c r="G9" s="11"/>
      <c r="H9" s="74"/>
      <c r="I9" s="98"/>
      <c r="J9" s="11"/>
      <c r="K9" s="11"/>
      <c r="L9" s="13"/>
      <c r="M9" s="13"/>
    </row>
    <row r="10" spans="1:13" x14ac:dyDescent="0.25">
      <c r="A10" s="15" t="s">
        <v>22</v>
      </c>
      <c r="D10" s="13"/>
      <c r="E10" s="13"/>
      <c r="F10" s="13"/>
      <c r="G10" s="13"/>
      <c r="H10" s="65"/>
      <c r="I10" s="99"/>
      <c r="J10" s="14"/>
      <c r="K10" s="13"/>
      <c r="L10" s="13"/>
      <c r="M10" s="13"/>
    </row>
    <row r="11" spans="1:13" x14ac:dyDescent="0.25">
      <c r="A11" s="15" t="s">
        <v>23</v>
      </c>
      <c r="D11" s="13">
        <v>3250000</v>
      </c>
      <c r="E11" s="13"/>
      <c r="F11" s="13">
        <f>+D11+E11</f>
        <v>3250000</v>
      </c>
      <c r="G11" s="13">
        <v>3250000</v>
      </c>
      <c r="H11" s="65">
        <v>0</v>
      </c>
      <c r="I11" s="99">
        <f>+G11+H11</f>
        <v>3250000</v>
      </c>
      <c r="J11" s="14">
        <f>I11/F11</f>
        <v>1</v>
      </c>
      <c r="K11" s="65">
        <f>F11-I11</f>
        <v>0</v>
      </c>
      <c r="L11" s="13">
        <f>I11+K11</f>
        <v>3250000</v>
      </c>
      <c r="M11" s="65">
        <f>H11-K11</f>
        <v>0</v>
      </c>
    </row>
    <row r="12" spans="1:13" x14ac:dyDescent="0.25">
      <c r="A12" s="12" t="s">
        <v>24</v>
      </c>
      <c r="D12" s="16">
        <v>11650000</v>
      </c>
      <c r="E12" s="17"/>
      <c r="F12" s="17">
        <f>+D12+E12</f>
        <v>11650000</v>
      </c>
      <c r="G12" s="17">
        <v>11650000</v>
      </c>
      <c r="H12" s="65">
        <v>0</v>
      </c>
      <c r="I12" s="100">
        <f>+G12+H12</f>
        <v>11650000</v>
      </c>
      <c r="J12" s="18">
        <f t="shared" ref="J12:J13" si="0">I12/F12</f>
        <v>1</v>
      </c>
      <c r="K12" s="65">
        <f t="shared" ref="K12:K13" si="1">F12-I12</f>
        <v>0</v>
      </c>
      <c r="L12" s="13">
        <f t="shared" ref="L12:L13" si="2">I12+K12</f>
        <v>11650000</v>
      </c>
      <c r="M12" s="65">
        <f>H12-K12</f>
        <v>0</v>
      </c>
    </row>
    <row r="13" spans="1:13" x14ac:dyDescent="0.25">
      <c r="A13" s="15"/>
      <c r="D13" s="13">
        <v>14900000</v>
      </c>
      <c r="E13" s="13"/>
      <c r="F13" s="13">
        <f>+D13+E13</f>
        <v>14900000</v>
      </c>
      <c r="G13" s="13">
        <v>14900000</v>
      </c>
      <c r="H13" s="75">
        <v>0</v>
      </c>
      <c r="I13" s="99">
        <f>+G13+H13</f>
        <v>14900000</v>
      </c>
      <c r="J13" s="14">
        <f t="shared" si="0"/>
        <v>1</v>
      </c>
      <c r="K13" s="91">
        <f t="shared" si="1"/>
        <v>0</v>
      </c>
      <c r="L13" s="68">
        <f t="shared" si="2"/>
        <v>14900000</v>
      </c>
      <c r="M13" s="91">
        <f>H13-K13</f>
        <v>0</v>
      </c>
    </row>
    <row r="14" spans="1:13" x14ac:dyDescent="0.25">
      <c r="A14" s="12" t="s">
        <v>25</v>
      </c>
      <c r="D14" s="13"/>
      <c r="E14" s="13"/>
      <c r="F14" s="13"/>
      <c r="G14" s="13"/>
      <c r="H14" s="65"/>
      <c r="I14" s="99"/>
      <c r="J14" s="14"/>
      <c r="K14" s="65"/>
      <c r="L14" s="13"/>
      <c r="M14" s="65"/>
    </row>
    <row r="15" spans="1:13" x14ac:dyDescent="0.25">
      <c r="A15" s="15" t="s">
        <v>25</v>
      </c>
      <c r="D15" s="19">
        <v>9732954</v>
      </c>
      <c r="E15" s="13">
        <v>851273</v>
      </c>
      <c r="F15" s="13">
        <f>+D15+E15</f>
        <v>10584227</v>
      </c>
      <c r="G15" s="13">
        <v>10350977</v>
      </c>
      <c r="H15" s="65">
        <v>233250</v>
      </c>
      <c r="I15" s="99">
        <f>+G15+H15</f>
        <v>10584227</v>
      </c>
      <c r="J15" s="14">
        <f>I15/F15</f>
        <v>1</v>
      </c>
      <c r="K15" s="65">
        <v>0</v>
      </c>
      <c r="L15" s="13">
        <f>I15+K15</f>
        <v>10584227</v>
      </c>
      <c r="M15" s="65">
        <f>L15-F15</f>
        <v>0</v>
      </c>
    </row>
    <row r="16" spans="1:13" x14ac:dyDescent="0.25">
      <c r="A16" s="15" t="s">
        <v>26</v>
      </c>
      <c r="D16" s="67">
        <v>973295.4</v>
      </c>
      <c r="E16" s="17">
        <f>-D16</f>
        <v>-973295.4</v>
      </c>
      <c r="F16" s="86">
        <f>+D16+E16</f>
        <v>0</v>
      </c>
      <c r="G16" s="86">
        <v>0</v>
      </c>
      <c r="H16" s="65">
        <v>0</v>
      </c>
      <c r="I16" s="86">
        <f>+G16+H16</f>
        <v>0</v>
      </c>
      <c r="J16" s="20">
        <v>0</v>
      </c>
      <c r="K16" s="65">
        <f t="shared" ref="K16" si="3">F16-I16</f>
        <v>0</v>
      </c>
      <c r="L16" s="86">
        <f>I16+K16</f>
        <v>0</v>
      </c>
      <c r="M16" s="65">
        <f>H16-K16</f>
        <v>0</v>
      </c>
    </row>
    <row r="17" spans="1:14" x14ac:dyDescent="0.25">
      <c r="A17" s="12" t="s">
        <v>27</v>
      </c>
      <c r="D17" s="13">
        <f>SUM(D15:D16)</f>
        <v>10706249.4</v>
      </c>
      <c r="E17" s="13">
        <f t="shared" ref="E17:M17" si="4">SUM(E15:E16)</f>
        <v>-122022.40000000002</v>
      </c>
      <c r="F17" s="13">
        <f t="shared" si="4"/>
        <v>10584227</v>
      </c>
      <c r="G17" s="13">
        <f t="shared" si="4"/>
        <v>10350977</v>
      </c>
      <c r="H17" s="68">
        <f t="shared" si="4"/>
        <v>233250</v>
      </c>
      <c r="I17" s="99">
        <f t="shared" si="4"/>
        <v>10584227</v>
      </c>
      <c r="J17" s="84">
        <f t="shared" si="4"/>
        <v>1</v>
      </c>
      <c r="K17" s="91">
        <f t="shared" si="4"/>
        <v>0</v>
      </c>
      <c r="L17" s="68">
        <f t="shared" si="4"/>
        <v>10584227</v>
      </c>
      <c r="M17" s="91">
        <f t="shared" si="4"/>
        <v>0</v>
      </c>
    </row>
    <row r="18" spans="1:14" x14ac:dyDescent="0.25">
      <c r="A18" s="15"/>
      <c r="D18" s="13"/>
      <c r="E18" s="13"/>
      <c r="F18" s="13"/>
      <c r="G18" s="13"/>
      <c r="H18" s="65"/>
      <c r="I18" s="99"/>
      <c r="J18" s="14"/>
      <c r="K18" s="13"/>
      <c r="L18" s="13"/>
      <c r="M18" s="13"/>
    </row>
    <row r="19" spans="1:14" x14ac:dyDescent="0.25">
      <c r="A19" s="12" t="s">
        <v>28</v>
      </c>
      <c r="D19" s="13"/>
      <c r="E19" s="13"/>
      <c r="F19" s="13"/>
      <c r="G19" s="13"/>
      <c r="H19" s="65"/>
      <c r="I19" s="99"/>
      <c r="J19" s="14"/>
      <c r="K19" s="13"/>
      <c r="L19" s="13"/>
      <c r="M19" s="13"/>
    </row>
    <row r="20" spans="1:14" x14ac:dyDescent="0.25">
      <c r="A20" s="15" t="str">
        <f>[1]Monthly_Requisitions!A18</f>
        <v>A/E</v>
      </c>
      <c r="D20" s="13">
        <v>493150</v>
      </c>
      <c r="E20" s="13">
        <v>261704</v>
      </c>
      <c r="F20" s="13">
        <f t="shared" ref="F20:F42" si="5">+D20+E20</f>
        <v>754854</v>
      </c>
      <c r="G20" s="13">
        <v>739811</v>
      </c>
      <c r="H20" s="65"/>
      <c r="I20" s="99">
        <f t="shared" ref="I20:I42" si="6">+G20+H20</f>
        <v>739811</v>
      </c>
      <c r="J20" s="14">
        <f t="shared" ref="J20:J48" si="7">I20/F20</f>
        <v>0.98007164299321459</v>
      </c>
      <c r="K20" s="13"/>
      <c r="L20" s="13">
        <f>I20+K20</f>
        <v>739811</v>
      </c>
      <c r="M20" s="13">
        <f>L20-F20</f>
        <v>-15043</v>
      </c>
      <c r="N20" s="21"/>
    </row>
    <row r="21" spans="1:14" x14ac:dyDescent="0.25">
      <c r="A21" s="15" t="str">
        <f>[1]Monthly_Requisitions!A19</f>
        <v>Surveys &amp; Permits</v>
      </c>
      <c r="D21" s="13">
        <v>40650</v>
      </c>
      <c r="E21" s="13">
        <v>-10000</v>
      </c>
      <c r="F21" s="13">
        <f t="shared" si="5"/>
        <v>30650</v>
      </c>
      <c r="G21" s="13">
        <v>28485.279999999999</v>
      </c>
      <c r="H21" s="65">
        <v>7200</v>
      </c>
      <c r="I21" s="99">
        <f t="shared" si="6"/>
        <v>35685.279999999999</v>
      </c>
      <c r="J21" s="14">
        <f t="shared" si="7"/>
        <v>1.1642831973898857</v>
      </c>
      <c r="K21" s="13"/>
      <c r="L21" s="13">
        <f t="shared" ref="L21:L42" si="8">I21+K21</f>
        <v>35685.279999999999</v>
      </c>
      <c r="M21" s="13">
        <f t="shared" ref="M21:M42" si="9">L21-F21</f>
        <v>5035.2799999999988</v>
      </c>
      <c r="N21" s="21"/>
    </row>
    <row r="22" spans="1:14" x14ac:dyDescent="0.25">
      <c r="A22" s="15" t="s">
        <v>71</v>
      </c>
      <c r="D22" s="13">
        <v>64000</v>
      </c>
      <c r="E22" s="13">
        <v>36340</v>
      </c>
      <c r="F22" s="13">
        <f t="shared" si="5"/>
        <v>100340</v>
      </c>
      <c r="G22" s="13">
        <v>87327</v>
      </c>
      <c r="H22" s="65">
        <v>945</v>
      </c>
      <c r="I22" s="99">
        <f t="shared" si="6"/>
        <v>88272</v>
      </c>
      <c r="J22" s="14">
        <f t="shared" si="7"/>
        <v>0.87972892166633443</v>
      </c>
      <c r="K22" s="13">
        <f>101285-I22</f>
        <v>13013</v>
      </c>
      <c r="L22" s="13">
        <f t="shared" si="8"/>
        <v>101285</v>
      </c>
      <c r="M22" s="13">
        <f t="shared" si="9"/>
        <v>945</v>
      </c>
      <c r="N22" s="21"/>
    </row>
    <row r="23" spans="1:14" x14ac:dyDescent="0.25">
      <c r="A23" s="15" t="str">
        <f>[1]Monthly_Requisitions!A21</f>
        <v>FFE</v>
      </c>
      <c r="D23" s="13">
        <v>75000</v>
      </c>
      <c r="E23" s="13">
        <v>-58877</v>
      </c>
      <c r="F23" s="13">
        <f t="shared" si="5"/>
        <v>16123</v>
      </c>
      <c r="G23" s="13">
        <v>10749</v>
      </c>
      <c r="H23" s="65">
        <v>0</v>
      </c>
      <c r="I23" s="99">
        <f t="shared" si="6"/>
        <v>10749</v>
      </c>
      <c r="J23" s="14">
        <f t="shared" si="7"/>
        <v>0.66668734106555849</v>
      </c>
      <c r="K23" s="88">
        <f t="shared" ref="K23:K52" si="10">F23-I23</f>
        <v>5374</v>
      </c>
      <c r="L23" s="13">
        <f t="shared" si="8"/>
        <v>16123</v>
      </c>
      <c r="M23" s="13">
        <f t="shared" si="9"/>
        <v>0</v>
      </c>
      <c r="N23" s="21"/>
    </row>
    <row r="24" spans="1:14" x14ac:dyDescent="0.25">
      <c r="A24" s="15" t="str">
        <f>[1]Monthly_Requisitions!A22</f>
        <v>Geotech/Environmental</v>
      </c>
      <c r="D24" s="13">
        <v>30000</v>
      </c>
      <c r="E24" s="13">
        <v>2772</v>
      </c>
      <c r="F24" s="13">
        <f t="shared" si="5"/>
        <v>32772</v>
      </c>
      <c r="G24" s="13">
        <v>31814</v>
      </c>
      <c r="H24" s="65">
        <v>0</v>
      </c>
      <c r="I24" s="99">
        <f t="shared" si="6"/>
        <v>31814</v>
      </c>
      <c r="J24" s="14">
        <f t="shared" si="7"/>
        <v>0.97076772854876114</v>
      </c>
      <c r="K24" s="13">
        <f>33722-I24</f>
        <v>1908</v>
      </c>
      <c r="L24" s="13">
        <f t="shared" si="8"/>
        <v>33722</v>
      </c>
      <c r="M24" s="13">
        <f t="shared" si="9"/>
        <v>950</v>
      </c>
      <c r="N24" s="21"/>
    </row>
    <row r="25" spans="1:14" x14ac:dyDescent="0.25">
      <c r="A25" s="15" t="str">
        <f>[1]Monthly_Requisitions!A23</f>
        <v>Accounting and Cost Cert</v>
      </c>
      <c r="D25" s="13">
        <v>37500</v>
      </c>
      <c r="E25" s="13"/>
      <c r="F25" s="13">
        <f t="shared" si="5"/>
        <v>37500</v>
      </c>
      <c r="G25" s="13">
        <v>11000</v>
      </c>
      <c r="H25" s="65">
        <v>25000</v>
      </c>
      <c r="I25" s="99">
        <f t="shared" si="6"/>
        <v>36000</v>
      </c>
      <c r="J25" s="14">
        <f t="shared" si="7"/>
        <v>0.96</v>
      </c>
      <c r="K25" s="13"/>
      <c r="L25" s="13">
        <f t="shared" si="8"/>
        <v>36000</v>
      </c>
      <c r="M25" s="13">
        <f t="shared" si="9"/>
        <v>-1500</v>
      </c>
      <c r="N25" s="21"/>
    </row>
    <row r="26" spans="1:14" x14ac:dyDescent="0.25">
      <c r="A26" s="15" t="str">
        <f>[1]Monthly_Requisitions!A24</f>
        <v>Construction Loan Interest</v>
      </c>
      <c r="D26" s="13">
        <v>535500</v>
      </c>
      <c r="E26" s="13"/>
      <c r="F26" s="13">
        <f t="shared" si="5"/>
        <v>535500</v>
      </c>
      <c r="G26" s="13">
        <v>384896</v>
      </c>
      <c r="H26" s="65">
        <v>0</v>
      </c>
      <c r="I26" s="99">
        <f t="shared" si="6"/>
        <v>384896</v>
      </c>
      <c r="J26" s="14">
        <f t="shared" si="7"/>
        <v>0.71876003734827265</v>
      </c>
      <c r="K26" s="13">
        <f>18505</f>
        <v>18505</v>
      </c>
      <c r="L26" s="13">
        <f t="shared" si="8"/>
        <v>403401</v>
      </c>
      <c r="M26" s="13">
        <f t="shared" si="9"/>
        <v>-132099</v>
      </c>
      <c r="N26" s="21"/>
    </row>
    <row r="27" spans="1:14" x14ac:dyDescent="0.25">
      <c r="A27" s="15" t="str">
        <f>[1]Monthly_Requisitions!A25</f>
        <v>Financing Fees</v>
      </c>
      <c r="D27" s="13">
        <v>250000</v>
      </c>
      <c r="E27" s="13"/>
      <c r="F27" s="13">
        <f t="shared" si="5"/>
        <v>250000</v>
      </c>
      <c r="G27" s="13">
        <v>215528.41</v>
      </c>
      <c r="H27" s="65">
        <v>0</v>
      </c>
      <c r="I27" s="99">
        <f t="shared" si="6"/>
        <v>215528.41</v>
      </c>
      <c r="J27" s="14">
        <f t="shared" si="7"/>
        <v>0.86211364000000001</v>
      </c>
      <c r="K27" s="13">
        <f>226180-I27</f>
        <v>10651.589999999997</v>
      </c>
      <c r="L27" s="13">
        <f t="shared" si="8"/>
        <v>226180</v>
      </c>
      <c r="M27" s="13">
        <f t="shared" si="9"/>
        <v>-23820</v>
      </c>
      <c r="N27" s="21"/>
    </row>
    <row r="28" spans="1:14" x14ac:dyDescent="0.25">
      <c r="A28" s="15" t="str">
        <f>[1]Monthly_Requisitions!A26</f>
        <v>Bond Fees</v>
      </c>
      <c r="D28" s="13">
        <v>398839</v>
      </c>
      <c r="E28" s="13">
        <v>13511</v>
      </c>
      <c r="F28" s="13">
        <f t="shared" si="5"/>
        <v>412350</v>
      </c>
      <c r="G28" s="13">
        <v>412350</v>
      </c>
      <c r="H28" s="65">
        <v>0</v>
      </c>
      <c r="I28" s="99">
        <f t="shared" si="6"/>
        <v>412350</v>
      </c>
      <c r="J28" s="14">
        <f t="shared" si="7"/>
        <v>1</v>
      </c>
      <c r="K28" s="88">
        <f t="shared" si="10"/>
        <v>0</v>
      </c>
      <c r="L28" s="13">
        <f t="shared" si="8"/>
        <v>412350</v>
      </c>
      <c r="M28" s="13">
        <f t="shared" si="9"/>
        <v>0</v>
      </c>
      <c r="N28" s="21"/>
    </row>
    <row r="29" spans="1:14" x14ac:dyDescent="0.25">
      <c r="A29" s="15" t="str">
        <f>[1]Monthly_Requisitions!A27</f>
        <v>LIHTC Fees</v>
      </c>
      <c r="D29" s="13">
        <v>38590.440432120005</v>
      </c>
      <c r="E29" s="13"/>
      <c r="F29" s="13">
        <f t="shared" si="5"/>
        <v>38590.440432120005</v>
      </c>
      <c r="G29" s="88">
        <v>0</v>
      </c>
      <c r="H29" s="65">
        <v>36533</v>
      </c>
      <c r="I29" s="99">
        <f t="shared" si="6"/>
        <v>36533</v>
      </c>
      <c r="J29" s="14">
        <f t="shared" si="7"/>
        <v>0.94668523061458676</v>
      </c>
      <c r="K29" s="13"/>
      <c r="L29" s="13">
        <f t="shared" si="8"/>
        <v>36533</v>
      </c>
      <c r="M29" s="13">
        <f t="shared" si="9"/>
        <v>-2057.4404321200054</v>
      </c>
      <c r="N29" s="21"/>
    </row>
    <row r="30" spans="1:14" x14ac:dyDescent="0.25">
      <c r="A30" s="15" t="str">
        <f>[1]Monthly_Requisitions!A28</f>
        <v>Appraisals</v>
      </c>
      <c r="D30" s="13">
        <v>16000</v>
      </c>
      <c r="E30" s="13">
        <v>-10000</v>
      </c>
      <c r="F30" s="13">
        <f t="shared" si="5"/>
        <v>6000</v>
      </c>
      <c r="G30" s="13">
        <v>4500</v>
      </c>
      <c r="H30" s="65">
        <v>0</v>
      </c>
      <c r="I30" s="99">
        <f t="shared" si="6"/>
        <v>4500</v>
      </c>
      <c r="J30" s="14">
        <f t="shared" si="7"/>
        <v>0.75</v>
      </c>
      <c r="K30" s="13"/>
      <c r="L30" s="13">
        <f t="shared" si="8"/>
        <v>4500</v>
      </c>
      <c r="M30" s="13">
        <f t="shared" si="9"/>
        <v>-1500</v>
      </c>
      <c r="N30" s="21"/>
    </row>
    <row r="31" spans="1:14" x14ac:dyDescent="0.25">
      <c r="A31" s="15" t="str">
        <f>[1]Monthly_Requisitions!A29</f>
        <v>Inspecting Engineer</v>
      </c>
      <c r="D31" s="13">
        <v>16500</v>
      </c>
      <c r="E31" s="13">
        <v>41020</v>
      </c>
      <c r="F31" s="13">
        <f t="shared" si="5"/>
        <v>57520</v>
      </c>
      <c r="G31" s="13">
        <v>27836</v>
      </c>
      <c r="H31" s="65">
        <v>10000</v>
      </c>
      <c r="I31" s="99">
        <f t="shared" si="6"/>
        <v>37836</v>
      </c>
      <c r="J31" s="14">
        <f t="shared" si="7"/>
        <v>0.65778859527121003</v>
      </c>
      <c r="K31" s="13">
        <f>57620-I31</f>
        <v>19784</v>
      </c>
      <c r="L31" s="13">
        <f t="shared" si="8"/>
        <v>57620</v>
      </c>
      <c r="M31" s="13">
        <f t="shared" si="9"/>
        <v>100</v>
      </c>
      <c r="N31" s="21"/>
    </row>
    <row r="32" spans="1:14" x14ac:dyDescent="0.25">
      <c r="A32" s="15" t="str">
        <f>[1]Monthly_Requisitions!A30</f>
        <v>Title &amp; Recording</v>
      </c>
      <c r="D32" s="13">
        <v>36000</v>
      </c>
      <c r="E32" s="13">
        <v>94000</v>
      </c>
      <c r="F32" s="13">
        <f t="shared" si="5"/>
        <v>130000</v>
      </c>
      <c r="G32" s="13">
        <v>118646.71</v>
      </c>
      <c r="H32" s="65">
        <v>4213</v>
      </c>
      <c r="I32" s="99">
        <f t="shared" si="6"/>
        <v>122859.71</v>
      </c>
      <c r="J32" s="14">
        <f t="shared" si="7"/>
        <v>0.94507469230769237</v>
      </c>
      <c r="K32" s="13"/>
      <c r="L32" s="13">
        <f t="shared" si="8"/>
        <v>122859.71</v>
      </c>
      <c r="M32" s="13">
        <f t="shared" si="9"/>
        <v>-7140.2899999999936</v>
      </c>
      <c r="N32" s="21"/>
    </row>
    <row r="33" spans="1:18" x14ac:dyDescent="0.25">
      <c r="A33" s="15" t="str">
        <f>[1]Monthly_Requisitions!A31</f>
        <v>Legal</v>
      </c>
      <c r="D33" s="13">
        <v>180000</v>
      </c>
      <c r="E33" s="13">
        <v>76250</v>
      </c>
      <c r="F33" s="13">
        <f t="shared" si="5"/>
        <v>256250</v>
      </c>
      <c r="G33" s="13">
        <v>230500</v>
      </c>
      <c r="H33" s="65">
        <v>13954</v>
      </c>
      <c r="I33" s="99">
        <f t="shared" si="6"/>
        <v>244454</v>
      </c>
      <c r="J33" s="14">
        <f t="shared" si="7"/>
        <v>0.95396682926829268</v>
      </c>
      <c r="K33" s="13">
        <f>56064</f>
        <v>56064</v>
      </c>
      <c r="L33" s="13">
        <f t="shared" si="8"/>
        <v>300518</v>
      </c>
      <c r="M33" s="13">
        <f t="shared" si="9"/>
        <v>44268</v>
      </c>
      <c r="N33"/>
      <c r="O33"/>
      <c r="P33"/>
      <c r="Q33"/>
      <c r="R33"/>
    </row>
    <row r="34" spans="1:18" x14ac:dyDescent="0.25">
      <c r="A34" s="15" t="s">
        <v>70</v>
      </c>
      <c r="D34" s="13">
        <v>91250</v>
      </c>
      <c r="E34" s="87"/>
      <c r="F34" s="13">
        <f t="shared" si="5"/>
        <v>91250</v>
      </c>
      <c r="G34" s="87">
        <v>91250</v>
      </c>
      <c r="H34" s="87"/>
      <c r="I34" s="99">
        <f t="shared" si="6"/>
        <v>91250</v>
      </c>
      <c r="J34" s="14">
        <f t="shared" si="7"/>
        <v>1</v>
      </c>
      <c r="K34" s="87"/>
      <c r="L34" s="13">
        <f t="shared" si="8"/>
        <v>91250</v>
      </c>
      <c r="M34" s="13">
        <f t="shared" si="9"/>
        <v>0</v>
      </c>
      <c r="N34"/>
      <c r="O34"/>
      <c r="P34"/>
      <c r="Q34"/>
      <c r="R34"/>
    </row>
    <row r="35" spans="1:18" x14ac:dyDescent="0.25">
      <c r="A35" s="15" t="str">
        <f>[1]Monthly_Requisitions!A32</f>
        <v>Insurance</v>
      </c>
      <c r="D35" s="13">
        <v>30000</v>
      </c>
      <c r="E35" s="87">
        <v>-30000</v>
      </c>
      <c r="F35" s="88">
        <f t="shared" si="5"/>
        <v>0</v>
      </c>
      <c r="G35" s="88">
        <v>0</v>
      </c>
      <c r="H35" s="88">
        <v>0</v>
      </c>
      <c r="I35" s="101">
        <f t="shared" si="6"/>
        <v>0</v>
      </c>
      <c r="J35" s="14">
        <v>0</v>
      </c>
      <c r="K35" s="88">
        <f t="shared" si="10"/>
        <v>0</v>
      </c>
      <c r="L35" s="88">
        <f t="shared" si="8"/>
        <v>0</v>
      </c>
      <c r="M35" s="13">
        <f t="shared" si="9"/>
        <v>0</v>
      </c>
      <c r="N35"/>
      <c r="O35"/>
      <c r="P35"/>
      <c r="Q35"/>
      <c r="R35"/>
    </row>
    <row r="36" spans="1:18" x14ac:dyDescent="0.25">
      <c r="A36" s="15" t="str">
        <f>[1]Monthly_Requisitions!A33</f>
        <v>Relocation</v>
      </c>
      <c r="D36" s="13">
        <v>250000</v>
      </c>
      <c r="E36" s="87">
        <v>629042</v>
      </c>
      <c r="F36" s="87">
        <f t="shared" si="5"/>
        <v>879042</v>
      </c>
      <c r="G36" s="87">
        <v>709725</v>
      </c>
      <c r="H36" s="87">
        <v>51924.25</v>
      </c>
      <c r="I36" s="99">
        <f>+G36+H36-0.45</f>
        <v>761648.8</v>
      </c>
      <c r="J36" s="14">
        <f t="shared" si="7"/>
        <v>0.86645325251808225</v>
      </c>
      <c r="K36" s="87">
        <f>10320</f>
        <v>10320</v>
      </c>
      <c r="L36" s="13">
        <f t="shared" si="8"/>
        <v>771968.8</v>
      </c>
      <c r="M36" s="13">
        <f t="shared" si="9"/>
        <v>-107073.19999999995</v>
      </c>
      <c r="N36"/>
      <c r="O36"/>
      <c r="P36"/>
      <c r="Q36"/>
      <c r="R36"/>
    </row>
    <row r="37" spans="1:18" x14ac:dyDescent="0.25">
      <c r="A37" s="15" t="s">
        <v>74</v>
      </c>
      <c r="D37" s="13">
        <v>250000</v>
      </c>
      <c r="E37" s="87">
        <v>18681</v>
      </c>
      <c r="F37" s="87">
        <f t="shared" si="5"/>
        <v>268681</v>
      </c>
      <c r="G37" s="87">
        <v>262175</v>
      </c>
      <c r="H37" s="87"/>
      <c r="I37" s="99">
        <f t="shared" si="6"/>
        <v>262175</v>
      </c>
      <c r="J37" s="14">
        <f t="shared" si="7"/>
        <v>0.9757854109520212</v>
      </c>
      <c r="K37" s="87">
        <v>5723</v>
      </c>
      <c r="L37" s="13">
        <f t="shared" si="8"/>
        <v>267898</v>
      </c>
      <c r="M37" s="13">
        <f t="shared" si="9"/>
        <v>-783</v>
      </c>
      <c r="N37"/>
      <c r="O37"/>
      <c r="P37"/>
      <c r="Q37"/>
      <c r="R37"/>
    </row>
    <row r="38" spans="1:18" x14ac:dyDescent="0.25">
      <c r="A38" s="15" t="s">
        <v>72</v>
      </c>
      <c r="D38" s="13"/>
      <c r="E38" s="87"/>
      <c r="F38" s="87"/>
      <c r="G38" s="87">
        <v>18324</v>
      </c>
      <c r="H38" s="87"/>
      <c r="I38" s="99">
        <f t="shared" si="6"/>
        <v>18324</v>
      </c>
      <c r="J38" s="89">
        <v>1</v>
      </c>
      <c r="K38" s="87"/>
      <c r="L38" s="13">
        <f t="shared" si="8"/>
        <v>18324</v>
      </c>
      <c r="M38" s="13">
        <f t="shared" si="9"/>
        <v>18324</v>
      </c>
      <c r="N38"/>
      <c r="O38"/>
      <c r="P38"/>
      <c r="Q38"/>
      <c r="R38"/>
    </row>
    <row r="39" spans="1:18" x14ac:dyDescent="0.25">
      <c r="A39" s="15" t="s">
        <v>73</v>
      </c>
      <c r="D39" s="13"/>
      <c r="E39" s="87"/>
      <c r="F39" s="87"/>
      <c r="G39" s="87"/>
      <c r="H39" s="87">
        <v>213944</v>
      </c>
      <c r="I39" s="99">
        <f t="shared" si="6"/>
        <v>213944</v>
      </c>
      <c r="J39" s="89">
        <v>1</v>
      </c>
      <c r="K39" s="87"/>
      <c r="L39" s="13">
        <f t="shared" si="8"/>
        <v>213944</v>
      </c>
      <c r="M39" s="13">
        <f t="shared" si="9"/>
        <v>213944</v>
      </c>
      <c r="N39"/>
      <c r="O39"/>
      <c r="P39"/>
      <c r="Q39"/>
      <c r="R39"/>
    </row>
    <row r="40" spans="1:18" x14ac:dyDescent="0.25">
      <c r="A40" s="15" t="str">
        <f>[1]Monthly_Requisitions!A35</f>
        <v>Capitalized Reserves</v>
      </c>
      <c r="D40" s="13">
        <v>1189577</v>
      </c>
      <c r="E40" s="87"/>
      <c r="F40" s="87">
        <f t="shared" si="5"/>
        <v>1189577</v>
      </c>
      <c r="G40" s="88">
        <v>0</v>
      </c>
      <c r="H40" s="87">
        <v>1197027</v>
      </c>
      <c r="I40" s="99">
        <f>+G40+H40</f>
        <v>1197027</v>
      </c>
      <c r="J40" s="14">
        <f t="shared" si="7"/>
        <v>1.0062627303654996</v>
      </c>
      <c r="K40" s="87"/>
      <c r="L40" s="13">
        <f>I40+K40</f>
        <v>1197027</v>
      </c>
      <c r="M40" s="13">
        <f t="shared" si="9"/>
        <v>7450</v>
      </c>
      <c r="N40"/>
      <c r="O40"/>
      <c r="P40"/>
      <c r="Q40"/>
      <c r="R40"/>
    </row>
    <row r="41" spans="1:18" x14ac:dyDescent="0.25">
      <c r="A41" s="15" t="str">
        <f>[1]Monthly_Requisitions!A36</f>
        <v>Replacement Reserve</v>
      </c>
      <c r="D41" s="13">
        <v>1634293</v>
      </c>
      <c r="E41" s="13"/>
      <c r="F41" s="87">
        <f t="shared" si="5"/>
        <v>1634293</v>
      </c>
      <c r="G41" s="87">
        <v>1634293</v>
      </c>
      <c r="H41" s="88">
        <v>0</v>
      </c>
      <c r="I41" s="99">
        <f t="shared" si="6"/>
        <v>1634293</v>
      </c>
      <c r="J41" s="14">
        <f t="shared" si="7"/>
        <v>1</v>
      </c>
      <c r="K41" s="88">
        <f t="shared" si="10"/>
        <v>0</v>
      </c>
      <c r="L41" s="13">
        <f t="shared" si="8"/>
        <v>1634293</v>
      </c>
      <c r="M41" s="13">
        <f t="shared" si="9"/>
        <v>0</v>
      </c>
      <c r="N41"/>
      <c r="O41"/>
      <c r="P41"/>
      <c r="Q41"/>
      <c r="R41"/>
    </row>
    <row r="42" spans="1:18" x14ac:dyDescent="0.25">
      <c r="A42" s="15" t="str">
        <f>[1]Monthly_Requisitions!A37</f>
        <v xml:space="preserve">Soft Cost Contingency </v>
      </c>
      <c r="D42" s="17">
        <v>259658</v>
      </c>
      <c r="E42" s="17">
        <v>-259658</v>
      </c>
      <c r="F42" s="86">
        <f t="shared" si="5"/>
        <v>0</v>
      </c>
      <c r="G42" s="86">
        <v>0</v>
      </c>
      <c r="H42" s="86">
        <v>0</v>
      </c>
      <c r="I42" s="86">
        <f t="shared" si="6"/>
        <v>0</v>
      </c>
      <c r="J42" s="86">
        <v>0</v>
      </c>
      <c r="K42" s="86">
        <f t="shared" si="10"/>
        <v>0</v>
      </c>
      <c r="L42" s="86">
        <f t="shared" si="8"/>
        <v>0</v>
      </c>
      <c r="M42" s="13">
        <f t="shared" si="9"/>
        <v>0</v>
      </c>
      <c r="N42"/>
      <c r="O42"/>
      <c r="P42"/>
      <c r="Q42"/>
      <c r="R42"/>
    </row>
    <row r="43" spans="1:18" x14ac:dyDescent="0.25">
      <c r="A43" s="12" t="s">
        <v>29</v>
      </c>
      <c r="D43" s="13">
        <f>SUM(D20:D42)</f>
        <v>5916507.4404321201</v>
      </c>
      <c r="E43" s="13">
        <f t="shared" ref="E43:L43" si="11">SUM(E20:E42)</f>
        <v>804785</v>
      </c>
      <c r="F43" s="68">
        <f t="shared" si="11"/>
        <v>6721292.4404321201</v>
      </c>
      <c r="G43" s="68">
        <f t="shared" si="11"/>
        <v>5019210.4000000004</v>
      </c>
      <c r="H43" s="68">
        <f t="shared" si="11"/>
        <v>1560740.25</v>
      </c>
      <c r="I43" s="102">
        <f t="shared" si="11"/>
        <v>6579950.2000000002</v>
      </c>
      <c r="J43" s="90">
        <f>I43/F43</f>
        <v>0.97897097296617064</v>
      </c>
      <c r="K43" s="68">
        <f t="shared" si="11"/>
        <v>141342.59</v>
      </c>
      <c r="L43" s="68">
        <f t="shared" si="11"/>
        <v>6721292.79</v>
      </c>
      <c r="M43" s="68">
        <f>SUM(M20:M42)</f>
        <v>0.34956788003910333</v>
      </c>
      <c r="N43"/>
      <c r="O43"/>
      <c r="P43"/>
      <c r="Q43"/>
      <c r="R43"/>
    </row>
    <row r="44" spans="1:18" x14ac:dyDescent="0.25">
      <c r="A44" s="15"/>
      <c r="D44" s="13"/>
      <c r="E44" s="13"/>
      <c r="F44" s="13"/>
      <c r="G44" s="13"/>
      <c r="H44" s="65"/>
      <c r="I44" s="99"/>
      <c r="J44" s="14"/>
      <c r="K44" s="13"/>
      <c r="L44" s="13"/>
      <c r="M44" s="13"/>
      <c r="N44"/>
      <c r="O44"/>
      <c r="P44"/>
      <c r="Q44"/>
      <c r="R44"/>
    </row>
    <row r="45" spans="1:18" x14ac:dyDescent="0.25">
      <c r="A45" s="12" t="s">
        <v>30</v>
      </c>
      <c r="D45" s="13"/>
      <c r="E45" s="13"/>
      <c r="F45" s="13"/>
      <c r="G45" s="13"/>
      <c r="H45" s="65"/>
      <c r="I45" s="99"/>
      <c r="J45" s="14"/>
      <c r="K45" s="13"/>
      <c r="L45" s="13"/>
      <c r="M45" s="13"/>
      <c r="N45"/>
      <c r="O45"/>
      <c r="P45"/>
      <c r="Q45"/>
      <c r="R45"/>
    </row>
    <row r="46" spans="1:18" x14ac:dyDescent="0.25">
      <c r="A46" s="15" t="s">
        <v>31</v>
      </c>
      <c r="D46" s="13">
        <v>1011288</v>
      </c>
      <c r="E46" s="13"/>
      <c r="F46" s="13">
        <f>+D46+E46</f>
        <v>1011288</v>
      </c>
      <c r="G46" s="88">
        <v>0</v>
      </c>
      <c r="H46" s="65">
        <v>1011288</v>
      </c>
      <c r="I46" s="99">
        <f>+G46+H46</f>
        <v>1011288</v>
      </c>
      <c r="J46" s="14">
        <f t="shared" si="7"/>
        <v>1</v>
      </c>
      <c r="K46" s="88">
        <f t="shared" si="10"/>
        <v>0</v>
      </c>
      <c r="L46" s="13">
        <f t="shared" ref="L46:L47" si="12">I46+K46</f>
        <v>1011288</v>
      </c>
      <c r="M46" s="88">
        <f t="shared" ref="M46:M48" si="13">L46-F46</f>
        <v>0</v>
      </c>
      <c r="N46" s="21"/>
    </row>
    <row r="47" spans="1:18" x14ac:dyDescent="0.25">
      <c r="A47" s="15" t="s">
        <v>32</v>
      </c>
      <c r="D47" s="17">
        <v>1011288</v>
      </c>
      <c r="E47" s="17"/>
      <c r="F47" s="17">
        <f>+D47+E47</f>
        <v>1011288</v>
      </c>
      <c r="G47" s="17">
        <v>1011288</v>
      </c>
      <c r="H47" s="76">
        <v>0</v>
      </c>
      <c r="I47" s="100">
        <f>+G47+H47</f>
        <v>1011288</v>
      </c>
      <c r="J47" s="20">
        <f t="shared" si="7"/>
        <v>1</v>
      </c>
      <c r="K47" s="117">
        <f t="shared" si="10"/>
        <v>0</v>
      </c>
      <c r="L47" s="13">
        <f t="shared" si="12"/>
        <v>1011288</v>
      </c>
      <c r="M47" s="117">
        <f t="shared" si="13"/>
        <v>0</v>
      </c>
      <c r="N47" s="21"/>
    </row>
    <row r="48" spans="1:18" x14ac:dyDescent="0.25">
      <c r="A48" s="12" t="s">
        <v>33</v>
      </c>
      <c r="D48" s="13">
        <v>2022576</v>
      </c>
      <c r="E48" s="88">
        <f>SUM(E45:E47)</f>
        <v>0</v>
      </c>
      <c r="F48" s="13">
        <f>+D48+E48</f>
        <v>2022576</v>
      </c>
      <c r="G48" s="13">
        <v>1011288</v>
      </c>
      <c r="H48" s="13">
        <v>1011288</v>
      </c>
      <c r="I48" s="99">
        <f>+G48+H48</f>
        <v>2022576</v>
      </c>
      <c r="J48" s="14">
        <f t="shared" si="7"/>
        <v>1</v>
      </c>
      <c r="K48" s="88">
        <f t="shared" si="10"/>
        <v>0</v>
      </c>
      <c r="L48" s="68">
        <f>SUM(L46:L47)</f>
        <v>2022576</v>
      </c>
      <c r="M48" s="88">
        <f t="shared" si="13"/>
        <v>0</v>
      </c>
      <c r="N48" s="21"/>
    </row>
    <row r="49" spans="1:13" x14ac:dyDescent="0.25">
      <c r="A49" s="22"/>
      <c r="D49" s="13"/>
      <c r="E49" s="13"/>
      <c r="F49" s="13"/>
      <c r="G49" s="13"/>
      <c r="H49" s="65"/>
      <c r="I49" s="99"/>
      <c r="J49" s="14"/>
      <c r="K49" s="88"/>
      <c r="L49" s="13"/>
      <c r="M49" s="88"/>
    </row>
    <row r="50" spans="1:13" ht="15.75" thickBot="1" x14ac:dyDescent="0.3">
      <c r="A50" s="23" t="s">
        <v>34</v>
      </c>
      <c r="D50" s="24">
        <f>D13+D17+D43+D48</f>
        <v>33545332.840432119</v>
      </c>
      <c r="E50" s="24">
        <f t="shared" ref="E50:M50" si="14">E13+E17+E43+E48</f>
        <v>682762.6</v>
      </c>
      <c r="F50" s="24">
        <f>F13+F17+F43+F48+0.25</f>
        <v>34228095.690432116</v>
      </c>
      <c r="G50" s="24">
        <f t="shared" si="14"/>
        <v>31281475.399999999</v>
      </c>
      <c r="H50" s="24">
        <f t="shared" si="14"/>
        <v>2805278.25</v>
      </c>
      <c r="I50" s="103">
        <f t="shared" si="14"/>
        <v>34086753.200000003</v>
      </c>
      <c r="J50" s="85">
        <f t="shared" si="14"/>
        <v>3.9789709729661706</v>
      </c>
      <c r="K50" s="24">
        <f t="shared" si="14"/>
        <v>141342.59</v>
      </c>
      <c r="L50" s="24">
        <f t="shared" si="14"/>
        <v>34228095.789999999</v>
      </c>
      <c r="M50" s="24">
        <f t="shared" si="14"/>
        <v>0.34956788003910333</v>
      </c>
    </row>
    <row r="51" spans="1:13" ht="15.75" thickTop="1" x14ac:dyDescent="0.25">
      <c r="A51" s="22"/>
      <c r="D51" s="25"/>
      <c r="E51" s="25"/>
      <c r="F51" s="25"/>
      <c r="G51" s="25"/>
      <c r="I51" s="104"/>
      <c r="J51" s="26"/>
      <c r="K51" s="25"/>
      <c r="L51" s="25"/>
      <c r="M51" s="25"/>
    </row>
    <row r="52" spans="1:13" hidden="1" x14ac:dyDescent="0.25">
      <c r="A52" s="22"/>
      <c r="D52" s="25"/>
      <c r="E52" s="25"/>
      <c r="F52" s="25"/>
      <c r="G52" s="25"/>
      <c r="I52" s="104"/>
      <c r="J52" s="26"/>
      <c r="K52" s="25"/>
      <c r="L52" s="25"/>
      <c r="M52" s="25"/>
    </row>
    <row r="53" spans="1:13" hidden="1" x14ac:dyDescent="0.25">
      <c r="A53" s="22"/>
      <c r="D53" s="25"/>
      <c r="E53" s="25"/>
      <c r="F53" s="25"/>
      <c r="G53" s="25"/>
      <c r="I53" s="104"/>
      <c r="J53" s="26"/>
      <c r="K53" s="25"/>
      <c r="L53" s="25"/>
      <c r="M53" s="25"/>
    </row>
    <row r="54" spans="1:13" hidden="1" x14ac:dyDescent="0.25">
      <c r="A54" s="22"/>
      <c r="D54" s="25"/>
      <c r="E54" s="25"/>
      <c r="F54" s="25"/>
      <c r="G54" s="25"/>
      <c r="I54" s="104"/>
      <c r="J54" s="26"/>
      <c r="K54" s="25"/>
      <c r="L54" s="25"/>
      <c r="M54" s="25"/>
    </row>
    <row r="55" spans="1:13" hidden="1" x14ac:dyDescent="0.25">
      <c r="A55" s="22"/>
      <c r="D55" s="25"/>
      <c r="E55" s="25"/>
      <c r="F55" s="25"/>
      <c r="G55" s="25"/>
      <c r="I55" s="104"/>
      <c r="J55" s="26"/>
      <c r="K55" s="25"/>
      <c r="L55" s="25"/>
      <c r="M55" s="25"/>
    </row>
    <row r="56" spans="1:13" hidden="1" x14ac:dyDescent="0.25">
      <c r="A56" s="22"/>
      <c r="D56" s="25"/>
      <c r="E56" s="25"/>
      <c r="F56" s="25"/>
      <c r="G56" s="25"/>
      <c r="I56" s="104"/>
      <c r="J56" s="26"/>
      <c r="K56" s="25"/>
      <c r="L56" s="25"/>
      <c r="M56" s="25"/>
    </row>
    <row r="57" spans="1:13" hidden="1" x14ac:dyDescent="0.25">
      <c r="A57" s="22"/>
      <c r="D57" s="25"/>
      <c r="E57" s="25"/>
      <c r="F57" s="25"/>
      <c r="G57" s="25"/>
      <c r="I57" s="104"/>
      <c r="J57" s="26"/>
      <c r="K57" s="25"/>
      <c r="L57" s="25"/>
      <c r="M57" s="25"/>
    </row>
    <row r="58" spans="1:13" hidden="1" x14ac:dyDescent="0.25">
      <c r="A58" s="22"/>
      <c r="D58" s="25"/>
      <c r="E58" s="25"/>
      <c r="F58" s="25"/>
      <c r="G58" s="25"/>
      <c r="I58" s="104"/>
      <c r="J58" s="26"/>
      <c r="K58" s="25"/>
      <c r="L58" s="25"/>
      <c r="M58" s="25"/>
    </row>
    <row r="59" spans="1:13" hidden="1" x14ac:dyDescent="0.25">
      <c r="A59" s="22"/>
      <c r="D59" s="25"/>
      <c r="E59" s="25"/>
      <c r="F59" s="25"/>
      <c r="G59" s="25"/>
      <c r="I59" s="104"/>
      <c r="J59" s="26"/>
      <c r="K59" s="25"/>
      <c r="L59" s="25"/>
      <c r="M59" s="25"/>
    </row>
    <row r="60" spans="1:13" hidden="1" x14ac:dyDescent="0.25">
      <c r="A60" s="22"/>
      <c r="D60" s="25"/>
      <c r="E60" s="25"/>
      <c r="F60" s="25"/>
      <c r="G60" s="25"/>
      <c r="I60" s="104"/>
      <c r="J60" s="26"/>
      <c r="K60" s="25"/>
      <c r="L60" s="25"/>
      <c r="M60" s="25"/>
    </row>
    <row r="61" spans="1:13" hidden="1" x14ac:dyDescent="0.25">
      <c r="A61" s="22"/>
      <c r="D61" s="25"/>
      <c r="E61" s="25"/>
      <c r="F61" s="25"/>
      <c r="G61" s="25"/>
      <c r="I61" s="104"/>
      <c r="J61" s="26"/>
      <c r="K61" s="25"/>
      <c r="L61" s="25"/>
      <c r="M61" s="25"/>
    </row>
    <row r="62" spans="1:13" hidden="1" x14ac:dyDescent="0.25">
      <c r="A62" s="22"/>
      <c r="D62" s="25"/>
      <c r="E62" s="25"/>
      <c r="F62" s="25"/>
      <c r="G62" s="25"/>
      <c r="I62" s="104"/>
      <c r="J62" s="26"/>
      <c r="K62" s="25"/>
      <c r="L62" s="25"/>
      <c r="M62" s="25"/>
    </row>
    <row r="63" spans="1:13" hidden="1" x14ac:dyDescent="0.25">
      <c r="A63" s="22"/>
      <c r="D63" s="25"/>
      <c r="E63" s="25"/>
      <c r="F63" s="25"/>
      <c r="G63" s="25"/>
      <c r="I63" s="104"/>
      <c r="J63" s="26"/>
      <c r="K63" s="25"/>
      <c r="L63" s="25"/>
      <c r="M63" s="25"/>
    </row>
    <row r="64" spans="1:13" hidden="1" x14ac:dyDescent="0.25">
      <c r="A64" s="22"/>
      <c r="D64" s="25"/>
      <c r="E64" s="25"/>
      <c r="F64" s="25"/>
      <c r="G64" s="25"/>
      <c r="I64" s="104"/>
      <c r="J64" s="26"/>
      <c r="K64" s="25"/>
      <c r="L64" s="25"/>
      <c r="M64" s="25"/>
    </row>
    <row r="65" spans="1:13" hidden="1" x14ac:dyDescent="0.25">
      <c r="A65" s="22"/>
      <c r="D65" s="25"/>
      <c r="E65" s="25"/>
      <c r="F65" s="25"/>
      <c r="G65" s="25"/>
      <c r="I65" s="104"/>
      <c r="J65" s="26"/>
      <c r="K65" s="25"/>
      <c r="L65" s="25"/>
      <c r="M65" s="25"/>
    </row>
    <row r="66" spans="1:13" hidden="1" x14ac:dyDescent="0.25">
      <c r="A66" s="22"/>
      <c r="D66" s="25"/>
      <c r="E66" s="25"/>
      <c r="F66" s="25"/>
      <c r="G66" s="25"/>
      <c r="I66" s="104"/>
      <c r="J66" s="26"/>
      <c r="K66" s="25"/>
      <c r="L66" s="25"/>
      <c r="M66" s="25"/>
    </row>
    <row r="67" spans="1:13" hidden="1" x14ac:dyDescent="0.25">
      <c r="A67" s="22"/>
      <c r="D67" s="25"/>
      <c r="E67" s="25"/>
      <c r="F67" s="25"/>
      <c r="G67" s="25"/>
      <c r="I67" s="104"/>
      <c r="J67" s="26"/>
      <c r="K67" s="25"/>
      <c r="L67" s="25"/>
      <c r="M67" s="25"/>
    </row>
    <row r="68" spans="1:13" hidden="1" x14ac:dyDescent="0.25">
      <c r="A68" s="22"/>
      <c r="D68" s="25"/>
      <c r="E68" s="25"/>
      <c r="F68" s="25"/>
      <c r="G68" s="25"/>
      <c r="I68" s="104"/>
      <c r="J68" s="26"/>
      <c r="K68" s="25"/>
      <c r="L68" s="25"/>
      <c r="M68" s="25"/>
    </row>
    <row r="69" spans="1:13" hidden="1" x14ac:dyDescent="0.25">
      <c r="A69" s="22"/>
      <c r="D69" s="25"/>
      <c r="E69" s="25"/>
      <c r="F69" s="25"/>
      <c r="G69" s="25"/>
      <c r="I69" s="104"/>
      <c r="J69" s="26"/>
      <c r="K69" s="25"/>
      <c r="L69" s="25"/>
      <c r="M69" s="25"/>
    </row>
    <row r="70" spans="1:13" hidden="1" x14ac:dyDescent="0.25">
      <c r="A70" s="22"/>
      <c r="D70" s="25"/>
      <c r="E70" s="25"/>
      <c r="F70" s="25"/>
      <c r="G70" s="25"/>
      <c r="I70" s="104"/>
      <c r="J70" s="26"/>
      <c r="K70" s="25"/>
      <c r="L70" s="25"/>
      <c r="M70" s="25"/>
    </row>
    <row r="71" spans="1:13" hidden="1" x14ac:dyDescent="0.25">
      <c r="A71" s="22"/>
      <c r="D71" s="25"/>
      <c r="E71" s="25"/>
      <c r="F71" s="25"/>
      <c r="G71" s="25"/>
      <c r="I71" s="104"/>
      <c r="J71" s="26"/>
      <c r="K71" s="25"/>
      <c r="L71" s="25"/>
      <c r="M71" s="25"/>
    </row>
    <row r="72" spans="1:13" hidden="1" x14ac:dyDescent="0.25">
      <c r="A72" s="22"/>
      <c r="D72" s="25"/>
      <c r="E72" s="25"/>
      <c r="F72" s="25"/>
      <c r="G72" s="25"/>
      <c r="I72" s="104"/>
      <c r="J72" s="26"/>
      <c r="K72" s="25"/>
      <c r="L72" s="25"/>
      <c r="M72" s="25"/>
    </row>
    <row r="73" spans="1:13" hidden="1" x14ac:dyDescent="0.25">
      <c r="A73" s="22"/>
      <c r="D73" s="25"/>
      <c r="E73" s="25"/>
      <c r="F73" s="25"/>
      <c r="G73" s="25"/>
      <c r="I73" s="104"/>
      <c r="J73" s="26"/>
      <c r="K73" s="25"/>
      <c r="L73" s="25"/>
      <c r="M73" s="25"/>
    </row>
    <row r="74" spans="1:13" hidden="1" x14ac:dyDescent="0.25">
      <c r="A74" s="22"/>
      <c r="D74" s="25"/>
      <c r="E74" s="25"/>
      <c r="F74" s="25"/>
      <c r="G74" s="25"/>
      <c r="I74" s="104"/>
      <c r="J74" s="26"/>
      <c r="K74" s="25"/>
      <c r="L74" s="25"/>
      <c r="M74" s="25"/>
    </row>
    <row r="75" spans="1:13" hidden="1" x14ac:dyDescent="0.25">
      <c r="A75" s="22"/>
      <c r="D75" s="25"/>
      <c r="E75" s="25"/>
      <c r="F75" s="25"/>
      <c r="G75" s="25"/>
      <c r="I75" s="104"/>
      <c r="J75" s="26"/>
      <c r="K75" s="25"/>
      <c r="L75" s="25"/>
      <c r="M75" s="25"/>
    </row>
    <row r="76" spans="1:13" hidden="1" x14ac:dyDescent="0.25">
      <c r="A76" s="22"/>
      <c r="D76" s="25"/>
      <c r="E76" s="25"/>
      <c r="F76" s="25"/>
      <c r="G76" s="25"/>
      <c r="I76" s="104"/>
      <c r="J76" s="26"/>
      <c r="K76" s="25"/>
      <c r="L76" s="25"/>
      <c r="M76" s="25"/>
    </row>
    <row r="77" spans="1:13" hidden="1" x14ac:dyDescent="0.25">
      <c r="A77" s="22"/>
      <c r="D77" s="25"/>
      <c r="E77" s="25"/>
      <c r="F77" s="25"/>
      <c r="G77" s="25"/>
      <c r="I77" s="104"/>
      <c r="J77" s="26"/>
      <c r="K77" s="25"/>
      <c r="L77" s="25"/>
      <c r="M77" s="25"/>
    </row>
    <row r="78" spans="1:13" ht="16.5" hidden="1" customHeight="1" x14ac:dyDescent="0.25">
      <c r="A78" s="22"/>
      <c r="D78" s="25"/>
      <c r="E78" s="25"/>
      <c r="F78" s="25"/>
      <c r="G78" s="25"/>
      <c r="I78" s="104"/>
      <c r="J78" s="26"/>
      <c r="K78" s="25"/>
      <c r="L78" s="25"/>
      <c r="M78" s="25"/>
    </row>
    <row r="79" spans="1:13" hidden="1" x14ac:dyDescent="0.25">
      <c r="A79" s="22"/>
      <c r="D79" s="25"/>
      <c r="E79" s="25"/>
      <c r="F79" s="25"/>
      <c r="G79" s="25"/>
      <c r="I79" s="104"/>
      <c r="J79" s="26"/>
      <c r="K79" s="25"/>
      <c r="L79" s="25"/>
      <c r="M79" s="25"/>
    </row>
    <row r="80" spans="1:13" hidden="1" x14ac:dyDescent="0.25">
      <c r="A80" s="22"/>
      <c r="J80" s="26"/>
    </row>
    <row r="81" spans="1:17" ht="14.25" hidden="1" customHeight="1" x14ac:dyDescent="0.25">
      <c r="A81" s="22"/>
      <c r="J81" s="26"/>
    </row>
    <row r="82" spans="1:17" x14ac:dyDescent="0.25">
      <c r="D82"/>
      <c r="E82"/>
    </row>
    <row r="83" spans="1:17" x14ac:dyDescent="0.25">
      <c r="D83"/>
      <c r="E83"/>
    </row>
    <row r="84" spans="1:17" customFormat="1" x14ac:dyDescent="0.25">
      <c r="A84" s="3"/>
      <c r="B84" s="3"/>
      <c r="C84" s="3"/>
      <c r="F84" s="3"/>
      <c r="G84" s="3"/>
      <c r="H84" s="70"/>
      <c r="I84" s="105"/>
      <c r="J84" s="3"/>
      <c r="K84" s="3"/>
      <c r="L84" s="3"/>
      <c r="M84" s="3"/>
      <c r="N84" s="3"/>
      <c r="O84" s="3"/>
      <c r="P84" s="3"/>
      <c r="Q84" s="3"/>
    </row>
    <row r="85" spans="1:17" customFormat="1" x14ac:dyDescent="0.25">
      <c r="A85" s="3"/>
      <c r="B85" s="3"/>
      <c r="C85" s="3"/>
      <c r="D85" s="3"/>
      <c r="E85" s="3"/>
      <c r="F85" s="3"/>
      <c r="G85" s="3"/>
      <c r="H85" s="70"/>
      <c r="I85" s="105"/>
      <c r="J85" s="3"/>
      <c r="K85" s="3"/>
      <c r="L85" s="3"/>
      <c r="M85" s="3"/>
      <c r="N85" s="3"/>
      <c r="O85" s="3"/>
      <c r="P85" s="3"/>
      <c r="Q85" s="3"/>
    </row>
    <row r="86" spans="1:17" customFormat="1" x14ac:dyDescent="0.25">
      <c r="A86" s="3"/>
      <c r="B86" s="3"/>
      <c r="C86" s="3"/>
      <c r="D86" s="3"/>
      <c r="E86" s="3"/>
      <c r="F86" s="3"/>
      <c r="G86" s="3"/>
      <c r="H86" s="70"/>
      <c r="I86" s="105"/>
      <c r="J86" s="3"/>
      <c r="K86" s="3"/>
      <c r="L86" s="3"/>
      <c r="M86" s="3"/>
      <c r="N86" s="3"/>
      <c r="O86" s="3"/>
      <c r="P86" s="3"/>
      <c r="Q86" s="3"/>
    </row>
    <row r="87" spans="1:17" customFormat="1" x14ac:dyDescent="0.25">
      <c r="A87" s="3"/>
      <c r="B87" s="3"/>
      <c r="C87" s="3"/>
      <c r="D87" s="3"/>
      <c r="E87" s="3"/>
      <c r="F87" s="3"/>
      <c r="G87" s="3"/>
      <c r="H87" s="70"/>
      <c r="I87" s="105"/>
      <c r="J87" s="3"/>
      <c r="K87" s="3"/>
      <c r="L87" s="3"/>
      <c r="M87" s="3"/>
      <c r="N87" s="3"/>
      <c r="O87" s="3"/>
      <c r="P87" s="3"/>
      <c r="Q87" s="3"/>
    </row>
    <row r="88" spans="1:17" customFormat="1" x14ac:dyDescent="0.25">
      <c r="A88" s="3"/>
      <c r="B88" s="3"/>
      <c r="C88" s="3"/>
      <c r="D88" s="3"/>
      <c r="E88" s="3"/>
      <c r="F88" s="3"/>
      <c r="G88" s="3"/>
      <c r="H88" s="70"/>
      <c r="I88" s="105"/>
      <c r="J88" s="3"/>
      <c r="K88" s="3"/>
      <c r="L88" s="3"/>
      <c r="M88" s="3"/>
      <c r="N88" s="3"/>
      <c r="O88" s="3"/>
      <c r="P88" s="3"/>
      <c r="Q88" s="3"/>
    </row>
    <row r="89" spans="1:17" customFormat="1" x14ac:dyDescent="0.25">
      <c r="A89" s="3"/>
      <c r="B89" s="3"/>
      <c r="C89" s="3"/>
      <c r="D89" s="3"/>
      <c r="E89" s="3"/>
      <c r="F89" s="3"/>
      <c r="G89" s="3"/>
      <c r="H89" s="70"/>
      <c r="I89" s="105"/>
      <c r="J89" s="3"/>
      <c r="K89" s="3"/>
      <c r="L89" s="3"/>
      <c r="M89" s="3"/>
      <c r="N89" s="3"/>
      <c r="O89" s="3"/>
      <c r="P89" s="3"/>
      <c r="Q89" s="3"/>
    </row>
    <row r="90" spans="1:17" customFormat="1" x14ac:dyDescent="0.25">
      <c r="A90" s="3"/>
      <c r="B90" s="3"/>
      <c r="C90" s="3"/>
      <c r="D90" s="3"/>
      <c r="E90" s="3"/>
      <c r="F90" s="3"/>
      <c r="G90" s="3"/>
      <c r="H90" s="70"/>
      <c r="I90" s="105"/>
      <c r="J90" s="3"/>
      <c r="K90" s="3"/>
      <c r="L90" s="3"/>
      <c r="M90" s="3"/>
      <c r="N90" s="3"/>
      <c r="O90" s="3"/>
      <c r="P90" s="3"/>
      <c r="Q90" s="3"/>
    </row>
    <row r="91" spans="1:17" customFormat="1" x14ac:dyDescent="0.25">
      <c r="A91" s="3"/>
      <c r="B91" s="3"/>
      <c r="C91" s="3"/>
      <c r="D91" s="3"/>
      <c r="E91" s="3"/>
      <c r="F91" s="3"/>
      <c r="G91" s="3"/>
      <c r="H91" s="70"/>
      <c r="I91" s="105"/>
      <c r="J91" s="3"/>
      <c r="K91" s="3"/>
      <c r="L91" s="3"/>
      <c r="M91" s="3"/>
      <c r="N91" s="3"/>
      <c r="O91" s="3"/>
      <c r="P91" s="3"/>
      <c r="Q91" s="3"/>
    </row>
    <row r="92" spans="1:17" customFormat="1" x14ac:dyDescent="0.25">
      <c r="A92" s="3"/>
      <c r="B92" s="3"/>
      <c r="C92" s="3"/>
      <c r="D92" s="3"/>
      <c r="E92" s="3"/>
      <c r="F92" s="3"/>
      <c r="G92" s="3"/>
      <c r="H92" s="70"/>
      <c r="I92" s="105"/>
      <c r="J92" s="3"/>
      <c r="K92" s="3"/>
      <c r="L92" s="3"/>
      <c r="M92" s="3"/>
      <c r="N92" s="3"/>
      <c r="O92" s="3"/>
      <c r="P92" s="3"/>
      <c r="Q92" s="3"/>
    </row>
    <row r="93" spans="1:17" customFormat="1" ht="15.75" x14ac:dyDescent="0.25">
      <c r="A93" s="1" t="s">
        <v>35</v>
      </c>
      <c r="B93" s="4"/>
      <c r="C93" s="4"/>
      <c r="D93" s="4" t="s">
        <v>1</v>
      </c>
      <c r="E93" s="5" t="str">
        <f>E1</f>
        <v>RTH Restoration Housing L.P.</v>
      </c>
      <c r="F93" s="5"/>
      <c r="G93" s="5"/>
      <c r="H93" s="69" t="s">
        <v>2</v>
      </c>
      <c r="I93" s="106">
        <f>I1</f>
        <v>16</v>
      </c>
      <c r="J93" s="27"/>
      <c r="N93" s="3"/>
      <c r="O93" s="3"/>
      <c r="P93" s="3"/>
      <c r="Q93" s="3"/>
    </row>
    <row r="94" spans="1:17" customFormat="1" ht="15.75" x14ac:dyDescent="0.25">
      <c r="A94" s="1" t="s">
        <v>36</v>
      </c>
      <c r="B94" s="4"/>
      <c r="C94" s="4"/>
      <c r="D94" s="4" t="s">
        <v>4</v>
      </c>
      <c r="E94" s="5" t="str">
        <f>E2</f>
        <v>RTH Restoration</v>
      </c>
      <c r="F94" s="5"/>
      <c r="G94" s="5"/>
      <c r="H94" s="69" t="s">
        <v>5</v>
      </c>
      <c r="I94" s="93">
        <v>42735</v>
      </c>
      <c r="J94" s="27"/>
      <c r="N94" s="3"/>
      <c r="O94" s="3"/>
      <c r="P94" s="3"/>
      <c r="Q94" s="3"/>
    </row>
    <row r="95" spans="1:17" customFormat="1" x14ac:dyDescent="0.25">
      <c r="A95" s="4" t="s">
        <v>37</v>
      </c>
      <c r="D95" s="4" t="s">
        <v>7</v>
      </c>
      <c r="E95" s="5"/>
      <c r="F95" s="5"/>
      <c r="G95" s="5"/>
      <c r="H95" s="70"/>
      <c r="I95" s="94"/>
      <c r="J95" s="26"/>
      <c r="N95" s="3"/>
      <c r="O95" s="3"/>
      <c r="P95" s="3"/>
      <c r="Q95" s="3"/>
    </row>
    <row r="96" spans="1:17" customFormat="1" x14ac:dyDescent="0.25">
      <c r="A96" s="22"/>
      <c r="B96" s="3"/>
      <c r="C96" s="3"/>
      <c r="D96" s="3"/>
      <c r="E96" s="3"/>
      <c r="F96" s="3"/>
      <c r="G96" s="3"/>
      <c r="H96" s="70"/>
      <c r="I96" s="105"/>
      <c r="J96" s="26"/>
      <c r="K96" s="3"/>
      <c r="L96" s="3"/>
      <c r="M96" s="3"/>
      <c r="N96" s="3"/>
      <c r="O96" s="3"/>
      <c r="P96" s="3"/>
      <c r="Q96" s="3"/>
    </row>
    <row r="97" spans="1:17" customFormat="1" x14ac:dyDescent="0.25">
      <c r="A97" s="22"/>
      <c r="B97" s="3"/>
      <c r="C97" s="3"/>
      <c r="D97" s="8"/>
      <c r="E97" s="8"/>
      <c r="F97" s="8"/>
      <c r="G97" s="8"/>
      <c r="H97" s="71" t="s">
        <v>12</v>
      </c>
      <c r="I97" s="95"/>
      <c r="J97" s="28"/>
      <c r="K97" s="8"/>
      <c r="L97" s="8"/>
      <c r="M97" s="8" t="s">
        <v>67</v>
      </c>
      <c r="N97" s="3"/>
      <c r="O97" s="3"/>
      <c r="P97" s="3"/>
      <c r="Q97" s="3"/>
    </row>
    <row r="98" spans="1:17" customFormat="1" x14ac:dyDescent="0.25">
      <c r="A98" s="22"/>
      <c r="B98" s="3"/>
      <c r="C98" s="3"/>
      <c r="D98" s="9"/>
      <c r="E98" s="9" t="s">
        <v>9</v>
      </c>
      <c r="F98" s="9" t="s">
        <v>10</v>
      </c>
      <c r="G98" s="9" t="s">
        <v>11</v>
      </c>
      <c r="H98" s="72" t="s">
        <v>18</v>
      </c>
      <c r="I98" s="96" t="s">
        <v>13</v>
      </c>
      <c r="J98" s="29" t="s">
        <v>14</v>
      </c>
      <c r="K98" s="9" t="s">
        <v>15</v>
      </c>
      <c r="L98" s="9" t="s">
        <v>65</v>
      </c>
      <c r="M98" s="9" t="s">
        <v>68</v>
      </c>
      <c r="N98" s="3"/>
      <c r="O98" s="3"/>
      <c r="P98" s="3"/>
      <c r="Q98" s="3"/>
    </row>
    <row r="99" spans="1:17" customFormat="1" ht="15.75" thickBot="1" x14ac:dyDescent="0.3">
      <c r="A99" s="2" t="s">
        <v>38</v>
      </c>
      <c r="B99" s="3"/>
      <c r="C99" s="3"/>
      <c r="D99" s="10" t="s">
        <v>9</v>
      </c>
      <c r="E99" s="10" t="s">
        <v>16</v>
      </c>
      <c r="F99" s="10" t="s">
        <v>9</v>
      </c>
      <c r="G99" s="10" t="s">
        <v>17</v>
      </c>
      <c r="H99" s="73" t="s">
        <v>39</v>
      </c>
      <c r="I99" s="97" t="s">
        <v>19</v>
      </c>
      <c r="J99" s="30" t="s">
        <v>19</v>
      </c>
      <c r="K99" s="10" t="s">
        <v>20</v>
      </c>
      <c r="L99" s="10" t="s">
        <v>66</v>
      </c>
      <c r="M99" s="10" t="s">
        <v>69</v>
      </c>
      <c r="N99" s="3"/>
      <c r="O99" s="3"/>
      <c r="P99" s="3"/>
      <c r="Q99" s="3"/>
    </row>
    <row r="100" spans="1:17" customFormat="1" x14ac:dyDescent="0.25">
      <c r="A100" s="31" t="str">
        <f>[1]Monthly_Requisitions!A50</f>
        <v>Bond Proceeds</v>
      </c>
      <c r="B100" s="3"/>
      <c r="C100" s="3"/>
      <c r="D100" s="19">
        <v>16800000</v>
      </c>
      <c r="E100" s="13"/>
      <c r="F100" s="13">
        <f t="shared" ref="F100:F112" si="15">+D100+E100</f>
        <v>16800000</v>
      </c>
      <c r="G100" s="13">
        <v>16800000</v>
      </c>
      <c r="H100" s="65">
        <v>0</v>
      </c>
      <c r="I100" s="99">
        <f t="shared" ref="I100:I112" si="16">+G100+H100</f>
        <v>16800000</v>
      </c>
      <c r="J100" s="14">
        <f t="shared" ref="J100:J112" si="17">+I100/F100</f>
        <v>1</v>
      </c>
      <c r="K100" s="115">
        <f t="shared" ref="K100:K110" si="18">+F100-I100</f>
        <v>0</v>
      </c>
      <c r="L100" s="13">
        <f>I100</f>
        <v>16800000</v>
      </c>
      <c r="M100" s="115">
        <f>F100-L100</f>
        <v>0</v>
      </c>
      <c r="N100" s="3"/>
      <c r="O100" s="3"/>
      <c r="P100" s="3"/>
      <c r="Q100" s="3"/>
    </row>
    <row r="101" spans="1:17" customFormat="1" x14ac:dyDescent="0.25">
      <c r="A101" s="31" t="str">
        <f>[1]Monthly_Requisitions!A51</f>
        <v>Repayment of Bond</v>
      </c>
      <c r="B101" s="3"/>
      <c r="C101" s="3"/>
      <c r="D101" s="19">
        <v>-16800000</v>
      </c>
      <c r="E101" s="13"/>
      <c r="F101" s="13">
        <f t="shared" si="15"/>
        <v>-16800000</v>
      </c>
      <c r="G101" s="13">
        <v>0</v>
      </c>
      <c r="H101" s="65">
        <f>F101</f>
        <v>-16800000</v>
      </c>
      <c r="I101" s="99">
        <f t="shared" si="16"/>
        <v>-16800000</v>
      </c>
      <c r="J101" s="14">
        <f t="shared" si="17"/>
        <v>1</v>
      </c>
      <c r="K101" s="115">
        <f t="shared" si="18"/>
        <v>0</v>
      </c>
      <c r="L101" s="13">
        <f>I101</f>
        <v>-16800000</v>
      </c>
      <c r="M101" s="115">
        <f t="shared" ref="M101:M112" si="19">F101-L101</f>
        <v>0</v>
      </c>
      <c r="N101" s="3"/>
      <c r="O101" s="3"/>
      <c r="P101" s="3"/>
      <c r="Q101" s="3"/>
    </row>
    <row r="102" spans="1:17" customFormat="1" x14ac:dyDescent="0.25">
      <c r="A102" s="31" t="str">
        <f>[1]Monthly_Requisitions!A52</f>
        <v>Sponsor Bridge Loan</v>
      </c>
      <c r="B102" s="3"/>
      <c r="C102" s="3"/>
      <c r="D102" s="19">
        <v>100000</v>
      </c>
      <c r="E102" s="13"/>
      <c r="F102" s="13">
        <f t="shared" si="15"/>
        <v>100000</v>
      </c>
      <c r="G102" s="13">
        <v>0</v>
      </c>
      <c r="H102" s="65">
        <f t="shared" ref="H102:H103" si="20">F102</f>
        <v>100000</v>
      </c>
      <c r="I102" s="99">
        <f t="shared" si="16"/>
        <v>100000</v>
      </c>
      <c r="J102" s="14">
        <f t="shared" si="17"/>
        <v>1</v>
      </c>
      <c r="K102" s="115">
        <f t="shared" si="18"/>
        <v>0</v>
      </c>
      <c r="L102" s="13">
        <f>I102</f>
        <v>100000</v>
      </c>
      <c r="M102" s="115">
        <f t="shared" si="19"/>
        <v>0</v>
      </c>
      <c r="N102" s="3"/>
      <c r="O102" s="3"/>
      <c r="P102" s="3"/>
      <c r="Q102" s="3"/>
    </row>
    <row r="103" spans="1:17" customFormat="1" x14ac:dyDescent="0.25">
      <c r="A103" s="31" t="str">
        <f>[1]Monthly_Requisitions!A53</f>
        <v>Repayment of Sponsor Bridge Loan</v>
      </c>
      <c r="B103" s="3"/>
      <c r="C103" s="3"/>
      <c r="D103" s="19">
        <v>-100000</v>
      </c>
      <c r="E103" s="13"/>
      <c r="F103" s="13">
        <f t="shared" si="15"/>
        <v>-100000</v>
      </c>
      <c r="G103" s="13">
        <v>0</v>
      </c>
      <c r="H103" s="65">
        <f t="shared" si="20"/>
        <v>-100000</v>
      </c>
      <c r="I103" s="99">
        <f t="shared" si="16"/>
        <v>-100000</v>
      </c>
      <c r="J103" s="14">
        <f t="shared" si="17"/>
        <v>1</v>
      </c>
      <c r="K103" s="115">
        <f t="shared" si="18"/>
        <v>0</v>
      </c>
      <c r="L103" s="13">
        <f>I103</f>
        <v>-100000</v>
      </c>
      <c r="M103" s="115">
        <f t="shared" si="19"/>
        <v>0</v>
      </c>
      <c r="N103" s="3"/>
      <c r="O103" s="3"/>
      <c r="P103" s="3"/>
      <c r="Q103" s="3"/>
    </row>
    <row r="104" spans="1:17" customFormat="1" x14ac:dyDescent="0.25">
      <c r="A104" s="31" t="str">
        <f>[1]Monthly_Requisitions!A54</f>
        <v>Permanent Loan</v>
      </c>
      <c r="B104" s="3"/>
      <c r="C104" s="3"/>
      <c r="D104" s="19">
        <v>7715000</v>
      </c>
      <c r="E104" s="13"/>
      <c r="F104" s="13">
        <f t="shared" si="15"/>
        <v>7715000</v>
      </c>
      <c r="G104" s="13">
        <v>0</v>
      </c>
      <c r="H104" s="65">
        <f>F104</f>
        <v>7715000</v>
      </c>
      <c r="I104" s="99">
        <f t="shared" si="16"/>
        <v>7715000</v>
      </c>
      <c r="J104" s="14">
        <f t="shared" si="17"/>
        <v>1</v>
      </c>
      <c r="K104" s="115">
        <f t="shared" si="18"/>
        <v>0</v>
      </c>
      <c r="L104" s="13">
        <f>I104</f>
        <v>7715000</v>
      </c>
      <c r="M104" s="115">
        <f t="shared" si="19"/>
        <v>0</v>
      </c>
    </row>
    <row r="105" spans="1:17" customFormat="1" x14ac:dyDescent="0.25">
      <c r="A105" s="31" t="str">
        <f>[1]Monthly_Requisitions!A55</f>
        <v>4% Tax Credit Equity</v>
      </c>
      <c r="B105" s="3"/>
      <c r="C105" s="3"/>
      <c r="D105" s="19">
        <v>9346035</v>
      </c>
      <c r="E105" s="13">
        <v>-249402</v>
      </c>
      <c r="F105" s="13">
        <f t="shared" si="15"/>
        <v>9096633</v>
      </c>
      <c r="G105" s="13">
        <v>1924256.85</v>
      </c>
      <c r="H105" s="65">
        <f>F105-G105</f>
        <v>7172376.1500000004</v>
      </c>
      <c r="I105" s="99">
        <f t="shared" si="16"/>
        <v>9096633</v>
      </c>
      <c r="J105" s="14">
        <f t="shared" si="17"/>
        <v>1</v>
      </c>
      <c r="K105" s="115">
        <f t="shared" si="18"/>
        <v>0</v>
      </c>
      <c r="L105" s="13">
        <f>I105</f>
        <v>9096633</v>
      </c>
      <c r="M105" s="115">
        <f t="shared" si="19"/>
        <v>0</v>
      </c>
    </row>
    <row r="106" spans="1:17" customFormat="1" x14ac:dyDescent="0.25">
      <c r="A106" s="31" t="str">
        <f>[1]Monthly_Requisitions!A56</f>
        <v>Fed HTC Equity</v>
      </c>
      <c r="B106" s="3"/>
      <c r="C106" s="3"/>
      <c r="D106" s="19">
        <f>2577413+463</f>
        <v>2577876</v>
      </c>
      <c r="E106" s="13">
        <f>54373</f>
        <v>54373</v>
      </c>
      <c r="F106" s="13">
        <f t="shared" si="15"/>
        <v>2632249</v>
      </c>
      <c r="G106" s="13">
        <f>463054</f>
        <v>463054</v>
      </c>
      <c r="H106" s="65">
        <f>2196785+463</f>
        <v>2197248</v>
      </c>
      <c r="I106" s="99">
        <f t="shared" si="16"/>
        <v>2660302</v>
      </c>
      <c r="J106" s="14">
        <f t="shared" si="17"/>
        <v>1.0106574264060886</v>
      </c>
      <c r="K106" s="115">
        <v>0</v>
      </c>
      <c r="L106" s="13">
        <f>I106</f>
        <v>2660302</v>
      </c>
      <c r="M106" s="115">
        <f>F106-L106</f>
        <v>-28053</v>
      </c>
    </row>
    <row r="107" spans="1:17" customFormat="1" x14ac:dyDescent="0.25">
      <c r="A107" s="31" t="str">
        <f>[1]Monthly_Requisitions!A57</f>
        <v>State HTC Equity</v>
      </c>
      <c r="B107" s="3"/>
      <c r="C107" s="3"/>
      <c r="D107" s="19">
        <f>1827500</f>
        <v>1827500</v>
      </c>
      <c r="E107" s="13">
        <f>-43000</f>
        <v>-43000</v>
      </c>
      <c r="F107" s="13">
        <f t="shared" si="15"/>
        <v>1784500</v>
      </c>
      <c r="G107" s="13"/>
      <c r="H107" s="65">
        <v>1827500</v>
      </c>
      <c r="I107" s="99">
        <f t="shared" si="16"/>
        <v>1827500</v>
      </c>
      <c r="J107" s="14">
        <f t="shared" si="17"/>
        <v>1.0240963855421688</v>
      </c>
      <c r="K107" s="115">
        <v>0</v>
      </c>
      <c r="L107" s="13">
        <f>I107</f>
        <v>1827500</v>
      </c>
      <c r="M107" s="115">
        <f t="shared" si="19"/>
        <v>-43000</v>
      </c>
    </row>
    <row r="108" spans="1:17" customFormat="1" x14ac:dyDescent="0.25">
      <c r="A108" s="31" t="str">
        <f>[1]Monthly_Requisitions!A58</f>
        <v>RTH Sponsor Note</v>
      </c>
      <c r="B108" s="3"/>
      <c r="C108" s="3"/>
      <c r="D108" s="19">
        <v>9980879</v>
      </c>
      <c r="E108" s="13"/>
      <c r="F108" s="13">
        <f t="shared" si="15"/>
        <v>9980879</v>
      </c>
      <c r="G108" s="13">
        <v>9980879</v>
      </c>
      <c r="H108" s="65">
        <v>0</v>
      </c>
      <c r="I108" s="99">
        <f t="shared" si="16"/>
        <v>9980879</v>
      </c>
      <c r="J108" s="14">
        <f t="shared" si="17"/>
        <v>1</v>
      </c>
      <c r="K108" s="115">
        <f t="shared" si="18"/>
        <v>0</v>
      </c>
      <c r="L108" s="13">
        <f>I108</f>
        <v>9980879</v>
      </c>
      <c r="M108" s="115">
        <f t="shared" si="19"/>
        <v>0</v>
      </c>
    </row>
    <row r="109" spans="1:17" customFormat="1" x14ac:dyDescent="0.25">
      <c r="A109" s="31" t="str">
        <f>[1]Monthly_Requisitions!A59</f>
        <v>4% Legal Contribution</v>
      </c>
      <c r="B109" s="3"/>
      <c r="C109" s="3"/>
      <c r="D109" s="19">
        <v>91250</v>
      </c>
      <c r="E109" s="13">
        <v>2500</v>
      </c>
      <c r="F109" s="13">
        <f t="shared" si="15"/>
        <v>93750</v>
      </c>
      <c r="G109" s="13">
        <v>93750</v>
      </c>
      <c r="H109" s="65">
        <v>0</v>
      </c>
      <c r="I109" s="99">
        <f t="shared" si="16"/>
        <v>93750</v>
      </c>
      <c r="J109" s="14">
        <f t="shared" si="17"/>
        <v>1</v>
      </c>
      <c r="K109" s="115">
        <f t="shared" si="18"/>
        <v>0</v>
      </c>
      <c r="L109" s="13">
        <f>I109</f>
        <v>93750</v>
      </c>
      <c r="M109" s="115">
        <f t="shared" si="19"/>
        <v>0</v>
      </c>
    </row>
    <row r="110" spans="1:17" customFormat="1" x14ac:dyDescent="0.25">
      <c r="A110" s="31" t="str">
        <f>[1]Monthly_Requisitions!A60</f>
        <v>Replacement Reserve Loan</v>
      </c>
      <c r="B110" s="3"/>
      <c r="C110" s="3"/>
      <c r="D110" s="19">
        <v>1634293</v>
      </c>
      <c r="E110" s="13"/>
      <c r="F110" s="13">
        <f t="shared" si="15"/>
        <v>1634293</v>
      </c>
      <c r="G110" s="13">
        <v>1634293</v>
      </c>
      <c r="H110" s="65">
        <v>0</v>
      </c>
      <c r="I110" s="99">
        <f t="shared" si="16"/>
        <v>1634293</v>
      </c>
      <c r="J110" s="14">
        <f t="shared" si="17"/>
        <v>1</v>
      </c>
      <c r="K110" s="115">
        <f t="shared" si="18"/>
        <v>0</v>
      </c>
      <c r="L110" s="13">
        <f>I110</f>
        <v>1634293</v>
      </c>
      <c r="M110" s="115">
        <f t="shared" si="19"/>
        <v>0</v>
      </c>
      <c r="N110" s="3"/>
      <c r="O110" s="3"/>
      <c r="P110" s="3"/>
      <c r="Q110" s="3"/>
    </row>
    <row r="111" spans="1:17" customFormat="1" x14ac:dyDescent="0.25">
      <c r="A111" s="31" t="str">
        <f>[1]Monthly_Requisitions!A61</f>
        <v>Deferred Fee</v>
      </c>
      <c r="B111" s="3"/>
      <c r="C111" s="3"/>
      <c r="D111" s="19">
        <v>372500</v>
      </c>
      <c r="E111" s="13">
        <v>128055</v>
      </c>
      <c r="F111" s="13">
        <f t="shared" si="15"/>
        <v>500555</v>
      </c>
      <c r="G111" s="13"/>
      <c r="H111" s="65">
        <v>372500</v>
      </c>
      <c r="I111" s="99">
        <f t="shared" si="16"/>
        <v>372500</v>
      </c>
      <c r="J111" s="14">
        <f t="shared" si="17"/>
        <v>0.74417396689674464</v>
      </c>
      <c r="K111" s="115">
        <v>0</v>
      </c>
      <c r="L111" s="13">
        <f>I111</f>
        <v>372500</v>
      </c>
      <c r="M111" s="115">
        <f t="shared" si="19"/>
        <v>128055</v>
      </c>
      <c r="N111" s="3"/>
      <c r="O111" s="3"/>
      <c r="P111" s="3"/>
      <c r="Q111" s="3"/>
    </row>
    <row r="112" spans="1:17" customFormat="1" x14ac:dyDescent="0.25">
      <c r="A112" s="4" t="s">
        <v>40</v>
      </c>
      <c r="B112" s="3"/>
      <c r="C112" s="3"/>
      <c r="D112" s="19"/>
      <c r="E112" s="13">
        <v>790237</v>
      </c>
      <c r="F112" s="13">
        <f t="shared" si="15"/>
        <v>790237</v>
      </c>
      <c r="G112" s="13">
        <v>385242</v>
      </c>
      <c r="H112" s="65">
        <v>320654</v>
      </c>
      <c r="I112" s="99">
        <f t="shared" si="16"/>
        <v>705896</v>
      </c>
      <c r="J112" s="14">
        <f t="shared" si="17"/>
        <v>0.89327125912859051</v>
      </c>
      <c r="K112" s="13">
        <f>847239-705896</f>
        <v>141343</v>
      </c>
      <c r="L112" s="13">
        <f>I112+K112</f>
        <v>847239</v>
      </c>
      <c r="M112" s="115">
        <f t="shared" si="19"/>
        <v>-57002</v>
      </c>
      <c r="N112" s="3"/>
      <c r="O112" s="3"/>
      <c r="P112" s="3"/>
      <c r="Q112" s="3"/>
    </row>
    <row r="113" spans="1:17" customFormat="1" ht="15.75" thickBot="1" x14ac:dyDescent="0.3">
      <c r="A113" s="23" t="s">
        <v>34</v>
      </c>
      <c r="B113" s="3"/>
      <c r="C113" s="3"/>
      <c r="D113" s="24">
        <f>SUM(D100:D112)</f>
        <v>33545333</v>
      </c>
      <c r="E113" s="24">
        <f t="shared" ref="E113:I113" si="21">SUM(E100:E112)</f>
        <v>682763</v>
      </c>
      <c r="F113" s="24">
        <f t="shared" si="21"/>
        <v>34228096</v>
      </c>
      <c r="G113" s="24">
        <f>SUM(G100:G112)</f>
        <v>31281474.850000001</v>
      </c>
      <c r="H113" s="66">
        <f>SUM(H100:H112)</f>
        <v>2805278.1500000004</v>
      </c>
      <c r="I113" s="103">
        <f t="shared" si="21"/>
        <v>34086753</v>
      </c>
      <c r="J113" s="114">
        <f>I113/F113</f>
        <v>0.99587055616532105</v>
      </c>
      <c r="K113" s="24">
        <f t="shared" ref="K113:M113" si="22">SUM(K100:K112)</f>
        <v>141343</v>
      </c>
      <c r="L113" s="24">
        <f t="shared" si="22"/>
        <v>34228096</v>
      </c>
      <c r="M113" s="116">
        <f t="shared" si="22"/>
        <v>0</v>
      </c>
      <c r="N113" s="3"/>
      <c r="O113" s="3"/>
      <c r="P113" s="3"/>
      <c r="Q113" s="3"/>
    </row>
    <row r="114" spans="1:17" customFormat="1" ht="15.75" thickTop="1" x14ac:dyDescent="0.25">
      <c r="A114" s="3"/>
      <c r="B114" s="32"/>
      <c r="D114" s="25">
        <f>D50-D113</f>
        <v>-0.15956788137555122</v>
      </c>
      <c r="E114" s="25">
        <f t="shared" ref="E114:M114" si="23">E50-E113</f>
        <v>-0.40000000002328306</v>
      </c>
      <c r="F114" s="25">
        <f t="shared" si="23"/>
        <v>-0.3095678836107254</v>
      </c>
      <c r="G114" s="25">
        <f>G50-G113</f>
        <v>0.54999999701976776</v>
      </c>
      <c r="H114" s="25">
        <f t="shared" si="23"/>
        <v>9.999999962747097E-2</v>
      </c>
      <c r="I114" s="104">
        <f t="shared" si="23"/>
        <v>0.20000000298023224</v>
      </c>
      <c r="J114" s="25">
        <f t="shared" si="23"/>
        <v>2.9831004168008497</v>
      </c>
      <c r="K114" s="25">
        <f t="shared" si="23"/>
        <v>-0.41000000000349246</v>
      </c>
      <c r="L114" s="25">
        <f t="shared" si="23"/>
        <v>-0.21000000089406967</v>
      </c>
      <c r="M114" s="25">
        <f t="shared" si="23"/>
        <v>0.34956788003910333</v>
      </c>
      <c r="N114" s="3"/>
      <c r="O114" s="3"/>
      <c r="P114" s="3"/>
      <c r="Q114" s="3"/>
    </row>
    <row r="115" spans="1:17" customFormat="1" x14ac:dyDescent="0.25">
      <c r="A115" s="3"/>
      <c r="B115" s="33"/>
      <c r="D115" s="25"/>
      <c r="G115" s="3"/>
      <c r="H115" s="70"/>
      <c r="I115" s="94"/>
      <c r="K115" s="3"/>
      <c r="L115" s="3"/>
      <c r="M115" s="3"/>
      <c r="N115" s="3"/>
      <c r="O115" s="3"/>
      <c r="P115" s="3"/>
      <c r="Q115" s="3"/>
    </row>
    <row r="116" spans="1:17" customFormat="1" x14ac:dyDescent="0.25">
      <c r="A116" s="33"/>
      <c r="G116" s="3"/>
      <c r="H116" s="70"/>
      <c r="I116" s="94"/>
      <c r="K116" s="3"/>
      <c r="L116" s="3"/>
      <c r="M116" s="3"/>
      <c r="N116" s="3"/>
      <c r="O116" s="3"/>
      <c r="P116" s="3"/>
      <c r="Q116" s="3"/>
    </row>
    <row r="117" spans="1:17" customFormat="1" x14ac:dyDescent="0.25">
      <c r="A117" s="4" t="s">
        <v>41</v>
      </c>
      <c r="H117" s="70"/>
      <c r="I117" s="104">
        <f>I105+I106+I109</f>
        <v>11850685</v>
      </c>
      <c r="N117" s="3"/>
      <c r="O117" s="3"/>
      <c r="P117" s="3"/>
      <c r="Q117" s="3"/>
    </row>
    <row r="118" spans="1:17" customFormat="1" x14ac:dyDescent="0.25">
      <c r="H118" s="70"/>
      <c r="I118" s="94"/>
      <c r="N118" s="3"/>
      <c r="O118" s="3"/>
      <c r="P118" s="3"/>
      <c r="Q118" s="3"/>
    </row>
    <row r="119" spans="1:17" customFormat="1" x14ac:dyDescent="0.25">
      <c r="A119" s="5"/>
      <c r="B119" s="5"/>
      <c r="C119" s="5"/>
      <c r="D119" s="5"/>
      <c r="E119" s="5"/>
      <c r="G119" s="6">
        <v>42735</v>
      </c>
      <c r="H119" s="77"/>
      <c r="I119" s="94"/>
      <c r="N119" s="3"/>
      <c r="O119" s="3"/>
      <c r="P119" s="3"/>
      <c r="Q119" s="3"/>
    </row>
    <row r="120" spans="1:17" customFormat="1" x14ac:dyDescent="0.25">
      <c r="A120" s="4" t="s">
        <v>42</v>
      </c>
      <c r="G120" s="4" t="s">
        <v>43</v>
      </c>
      <c r="H120" s="70"/>
      <c r="I120" s="94"/>
      <c r="N120" s="3"/>
      <c r="O120" s="3"/>
      <c r="P120" s="3"/>
      <c r="Q120" s="3"/>
    </row>
    <row r="121" spans="1:17" customFormat="1" x14ac:dyDescent="0.25">
      <c r="H121" s="70"/>
      <c r="I121" s="94"/>
      <c r="N121" s="3"/>
      <c r="O121" s="3"/>
      <c r="P121" s="3"/>
      <c r="Q121" s="3"/>
    </row>
    <row r="122" spans="1:17" customFormat="1" ht="15.75" x14ac:dyDescent="0.25">
      <c r="A122" s="1" t="s">
        <v>44</v>
      </c>
      <c r="G122" s="34" t="s">
        <v>45</v>
      </c>
      <c r="H122" s="78"/>
      <c r="I122" s="107"/>
      <c r="J122" s="35"/>
      <c r="K122" s="36"/>
      <c r="L122" s="36"/>
      <c r="M122" s="36"/>
      <c r="N122" s="3"/>
      <c r="O122" s="3"/>
      <c r="P122" s="3"/>
      <c r="Q122" s="3"/>
    </row>
    <row r="123" spans="1:17" customFormat="1" ht="15.75" x14ac:dyDescent="0.25">
      <c r="A123" s="37" t="s">
        <v>46</v>
      </c>
      <c r="G123" s="38"/>
      <c r="H123" s="70"/>
      <c r="I123" s="94"/>
      <c r="K123" s="39"/>
      <c r="L123" s="39"/>
      <c r="M123" s="39"/>
      <c r="N123" s="3"/>
      <c r="O123" s="3"/>
      <c r="P123" s="3"/>
      <c r="Q123" s="3"/>
    </row>
    <row r="124" spans="1:17" customFormat="1" x14ac:dyDescent="0.25">
      <c r="A124" t="s">
        <v>47</v>
      </c>
      <c r="G124" s="40" t="s">
        <v>48</v>
      </c>
      <c r="H124" s="70"/>
      <c r="I124" s="94"/>
      <c r="K124" s="39"/>
      <c r="L124" s="39"/>
      <c r="M124" s="39"/>
      <c r="N124" s="3"/>
      <c r="O124" s="3"/>
      <c r="P124" s="3"/>
      <c r="Q124" s="3"/>
    </row>
    <row r="125" spans="1:17" customFormat="1" x14ac:dyDescent="0.25">
      <c r="G125" s="38"/>
      <c r="H125" s="70"/>
      <c r="I125" s="94"/>
      <c r="K125" s="39"/>
      <c r="L125" s="39"/>
      <c r="M125" s="39"/>
      <c r="N125" s="3"/>
      <c r="O125" s="3"/>
      <c r="P125" s="3"/>
      <c r="Q125" s="3"/>
    </row>
    <row r="126" spans="1:17" customFormat="1" x14ac:dyDescent="0.25">
      <c r="G126" s="40" t="s">
        <v>49</v>
      </c>
      <c r="H126" s="79"/>
      <c r="I126" s="108"/>
      <c r="J126" s="4"/>
      <c r="K126" s="42"/>
      <c r="L126" s="42"/>
      <c r="M126" s="42"/>
      <c r="N126" s="3"/>
      <c r="O126" s="3"/>
      <c r="P126" s="3"/>
      <c r="Q126" s="3"/>
    </row>
    <row r="127" spans="1:17" customFormat="1" x14ac:dyDescent="0.25">
      <c r="G127" s="40" t="s">
        <v>50</v>
      </c>
      <c r="H127" s="79"/>
      <c r="I127" s="108"/>
      <c r="J127" s="4"/>
      <c r="K127" s="42"/>
      <c r="L127" s="42"/>
      <c r="M127" s="42"/>
      <c r="N127" s="3"/>
      <c r="O127" s="3"/>
      <c r="P127" s="3"/>
      <c r="Q127" s="3"/>
    </row>
    <row r="128" spans="1:17" customFormat="1" x14ac:dyDescent="0.25">
      <c r="G128" s="40"/>
      <c r="H128" s="79"/>
      <c r="I128" s="108"/>
      <c r="J128" s="4"/>
      <c r="K128" s="42"/>
      <c r="L128" s="42"/>
      <c r="M128" s="42"/>
      <c r="N128" s="3"/>
      <c r="O128" s="3"/>
      <c r="P128" s="3"/>
      <c r="Q128" s="3"/>
    </row>
    <row r="129" spans="1:17" customFormat="1" x14ac:dyDescent="0.25">
      <c r="G129" s="40" t="s">
        <v>51</v>
      </c>
      <c r="H129" s="79"/>
      <c r="I129" s="108"/>
      <c r="J129" s="4"/>
      <c r="K129" s="42"/>
      <c r="L129" s="42"/>
      <c r="M129" s="42"/>
      <c r="N129" s="3"/>
      <c r="O129" s="3"/>
      <c r="P129" s="3"/>
      <c r="Q129" s="3"/>
    </row>
    <row r="130" spans="1:17" x14ac:dyDescent="0.25">
      <c r="A130"/>
      <c r="B130"/>
      <c r="C130"/>
      <c r="D130"/>
      <c r="E130"/>
      <c r="F130"/>
      <c r="G130" s="40" t="s">
        <v>52</v>
      </c>
      <c r="H130" s="79"/>
      <c r="I130" s="108"/>
      <c r="J130" s="4"/>
      <c r="K130" s="42"/>
      <c r="L130" s="42"/>
      <c r="M130" s="42"/>
    </row>
    <row r="131" spans="1:17" customFormat="1" x14ac:dyDescent="0.25">
      <c r="G131" s="40" t="s">
        <v>53</v>
      </c>
      <c r="H131" s="79"/>
      <c r="I131" s="108"/>
      <c r="J131" s="41"/>
      <c r="K131" s="43"/>
      <c r="L131" s="43"/>
      <c r="M131" s="43"/>
      <c r="N131" s="3"/>
      <c r="O131" s="3"/>
      <c r="P131" s="3"/>
      <c r="Q131" s="3"/>
    </row>
    <row r="132" spans="1:17" customFormat="1" x14ac:dyDescent="0.25">
      <c r="G132" s="38"/>
      <c r="H132" s="70"/>
      <c r="I132" s="94"/>
      <c r="K132" s="39"/>
      <c r="L132" s="39"/>
      <c r="M132" s="39"/>
      <c r="N132" s="3"/>
      <c r="O132" s="3"/>
      <c r="P132" s="3"/>
      <c r="Q132" s="3"/>
    </row>
    <row r="133" spans="1:17" customFormat="1" x14ac:dyDescent="0.25">
      <c r="G133" s="44" t="s">
        <v>54</v>
      </c>
      <c r="H133" s="70"/>
      <c r="I133" s="94"/>
      <c r="K133" s="39"/>
      <c r="L133" s="39"/>
      <c r="M133" s="39"/>
      <c r="N133" s="3"/>
      <c r="O133" s="3"/>
      <c r="P133" s="3"/>
      <c r="Q133" s="3"/>
    </row>
    <row r="134" spans="1:17" customFormat="1" x14ac:dyDescent="0.25">
      <c r="G134" s="38"/>
      <c r="H134" s="80" t="s">
        <v>55</v>
      </c>
      <c r="I134" s="109"/>
      <c r="J134" s="45"/>
      <c r="K134" s="46"/>
      <c r="L134" s="46"/>
      <c r="M134" s="46"/>
      <c r="N134" s="3"/>
      <c r="O134" s="3"/>
      <c r="P134" s="3"/>
      <c r="Q134" s="3"/>
    </row>
    <row r="135" spans="1:17" customFormat="1" x14ac:dyDescent="0.25">
      <c r="A135" s="4"/>
      <c r="B135" s="4"/>
      <c r="C135" s="4"/>
      <c r="D135" s="4"/>
      <c r="E135" s="4"/>
      <c r="F135" s="4"/>
      <c r="G135" s="44" t="s">
        <v>56</v>
      </c>
      <c r="H135" s="77"/>
      <c r="I135" s="110"/>
      <c r="K135" s="47"/>
      <c r="L135" s="47"/>
      <c r="M135" s="47"/>
      <c r="N135" s="3"/>
      <c r="O135" s="3"/>
      <c r="P135" s="3"/>
      <c r="Q135" s="3"/>
    </row>
    <row r="136" spans="1:17" customFormat="1" x14ac:dyDescent="0.25">
      <c r="G136" s="48"/>
      <c r="H136" s="77"/>
      <c r="I136" s="110"/>
      <c r="J136" s="5"/>
      <c r="K136" s="49"/>
      <c r="L136" s="49"/>
      <c r="M136" s="49"/>
      <c r="N136" s="3"/>
      <c r="O136" s="3"/>
      <c r="P136" s="3"/>
      <c r="Q136" s="3"/>
    </row>
    <row r="137" spans="1:17" customFormat="1" x14ac:dyDescent="0.25">
      <c r="A137" s="3"/>
      <c r="B137" s="3"/>
      <c r="C137" s="3"/>
      <c r="D137" s="3"/>
      <c r="E137" s="3"/>
      <c r="F137" s="3"/>
      <c r="G137" s="3"/>
      <c r="H137" s="70"/>
      <c r="I137" s="105"/>
      <c r="J137" s="3"/>
      <c r="K137" s="3"/>
      <c r="L137" s="3"/>
      <c r="M137" s="3"/>
      <c r="N137" s="3"/>
      <c r="O137" s="3"/>
      <c r="P137" s="3"/>
      <c r="Q137" s="3"/>
    </row>
    <row r="138" spans="1:17" customFormat="1" ht="15.75" thickBot="1" x14ac:dyDescent="0.3">
      <c r="A138" s="3"/>
      <c r="B138" s="3"/>
      <c r="C138" s="3"/>
      <c r="D138" s="3"/>
      <c r="E138" s="3"/>
      <c r="F138" s="3"/>
      <c r="G138" s="3"/>
      <c r="H138" s="70"/>
      <c r="I138" s="105"/>
      <c r="J138" s="3"/>
      <c r="K138" s="3"/>
      <c r="L138" s="3"/>
      <c r="M138" s="3"/>
      <c r="N138" s="3"/>
      <c r="O138" s="3"/>
      <c r="P138" s="3"/>
      <c r="Q138" s="3"/>
    </row>
    <row r="139" spans="1:17" customFormat="1" ht="15.75" thickBot="1" x14ac:dyDescent="0.3">
      <c r="A139" s="50" t="s">
        <v>57</v>
      </c>
      <c r="B139" s="50"/>
      <c r="C139" s="50"/>
      <c r="D139" s="51"/>
      <c r="E139" s="51"/>
      <c r="F139" s="51"/>
      <c r="G139" s="51"/>
      <c r="H139" s="81"/>
      <c r="I139" s="111"/>
      <c r="J139" s="52">
        <f>H100</f>
        <v>0</v>
      </c>
      <c r="K139" s="51"/>
      <c r="L139" s="51"/>
      <c r="M139" s="51"/>
      <c r="N139" s="3"/>
      <c r="O139" s="3"/>
      <c r="P139" s="3"/>
      <c r="Q139" s="3"/>
    </row>
    <row r="140" spans="1:17" customFormat="1" ht="15.75" thickBot="1" x14ac:dyDescent="0.3">
      <c r="A140" s="51"/>
      <c r="B140" s="51"/>
      <c r="C140" s="51"/>
      <c r="D140" s="51"/>
      <c r="E140" s="51"/>
      <c r="F140" s="51"/>
      <c r="G140" s="51"/>
      <c r="H140" s="81"/>
      <c r="I140" s="111"/>
      <c r="J140" s="51"/>
      <c r="K140" s="51"/>
      <c r="L140" s="51"/>
      <c r="M140" s="51"/>
      <c r="N140" s="3"/>
      <c r="O140" s="3"/>
      <c r="P140" s="3"/>
      <c r="Q140" s="3"/>
    </row>
    <row r="141" spans="1:17" customFormat="1" ht="15.75" thickBot="1" x14ac:dyDescent="0.3">
      <c r="A141" s="51" t="s">
        <v>58</v>
      </c>
      <c r="B141" s="51"/>
      <c r="C141" s="51"/>
      <c r="D141" s="51"/>
      <c r="E141" s="51"/>
      <c r="F141" s="51"/>
      <c r="G141" s="51"/>
      <c r="H141" s="81"/>
      <c r="I141" s="111"/>
      <c r="J141" s="53"/>
      <c r="K141" s="51"/>
      <c r="L141" s="51"/>
      <c r="M141" s="51"/>
      <c r="N141" s="3"/>
      <c r="O141" s="3"/>
      <c r="P141" s="3"/>
      <c r="Q141" s="3"/>
    </row>
    <row r="142" spans="1:17" customFormat="1" ht="15.75" thickBot="1" x14ac:dyDescent="0.3">
      <c r="A142" s="51"/>
      <c r="B142" s="51"/>
      <c r="C142" s="51"/>
      <c r="D142" s="51"/>
      <c r="E142" s="51"/>
      <c r="F142" s="51"/>
      <c r="G142" s="51"/>
      <c r="H142" s="81"/>
      <c r="I142" s="111"/>
      <c r="J142" s="51"/>
      <c r="K142" s="51"/>
      <c r="L142" s="51"/>
      <c r="M142" s="51"/>
      <c r="N142" s="3"/>
      <c r="O142" s="3"/>
      <c r="P142" s="3"/>
      <c r="Q142" s="3"/>
    </row>
    <row r="143" spans="1:17" ht="15.75" thickBot="1" x14ac:dyDescent="0.3">
      <c r="A143" s="50" t="s">
        <v>59</v>
      </c>
      <c r="B143" s="50"/>
      <c r="C143" s="50"/>
      <c r="D143" s="51"/>
      <c r="E143" s="51"/>
      <c r="F143" s="51"/>
      <c r="G143" s="51"/>
      <c r="H143" s="81"/>
      <c r="I143" s="111"/>
      <c r="J143" s="53"/>
      <c r="K143" s="51"/>
      <c r="L143" s="51"/>
      <c r="M143" s="51"/>
    </row>
    <row r="144" spans="1:17" x14ac:dyDescent="0.25">
      <c r="A144" s="51"/>
      <c r="B144" s="51"/>
      <c r="C144" s="51"/>
      <c r="D144" s="51"/>
      <c r="E144" s="51"/>
      <c r="F144" s="51"/>
      <c r="G144" s="51"/>
      <c r="H144" s="81"/>
      <c r="I144" s="111"/>
      <c r="J144" s="51"/>
      <c r="K144" s="51"/>
      <c r="L144" s="51"/>
      <c r="M144" s="51"/>
    </row>
    <row r="145" spans="1:13" ht="15.75" thickBot="1" x14ac:dyDescent="0.3">
      <c r="A145" s="54" t="s">
        <v>60</v>
      </c>
      <c r="B145" s="51"/>
      <c r="C145" s="51"/>
      <c r="D145" s="51"/>
      <c r="E145" s="51"/>
      <c r="F145" s="51"/>
      <c r="G145" s="51"/>
      <c r="H145" s="81"/>
      <c r="I145" s="111"/>
      <c r="J145" s="51"/>
      <c r="K145" s="51"/>
      <c r="L145" s="51"/>
      <c r="M145" s="51"/>
    </row>
    <row r="146" spans="1:13" ht="15.75" thickBot="1" x14ac:dyDescent="0.3">
      <c r="A146" s="55" t="s">
        <v>61</v>
      </c>
      <c r="B146" s="56"/>
      <c r="C146" s="56"/>
      <c r="D146" s="56"/>
      <c r="E146" s="57"/>
      <c r="F146" s="51"/>
      <c r="G146" s="58" t="s">
        <v>54</v>
      </c>
      <c r="H146" s="81"/>
      <c r="I146" s="111"/>
      <c r="J146" s="51"/>
      <c r="K146" s="51"/>
      <c r="L146" s="51"/>
      <c r="M146" s="51"/>
    </row>
    <row r="147" spans="1:13" x14ac:dyDescent="0.25">
      <c r="A147" s="55" t="s">
        <v>62</v>
      </c>
      <c r="B147" s="55"/>
      <c r="C147" s="55"/>
      <c r="D147" s="51"/>
      <c r="E147" s="59"/>
      <c r="F147" s="51"/>
      <c r="G147" s="51"/>
      <c r="H147" s="82" t="s">
        <v>63</v>
      </c>
      <c r="I147" s="112"/>
      <c r="J147" s="56"/>
      <c r="K147" s="56"/>
      <c r="L147" s="56"/>
      <c r="M147" s="56"/>
    </row>
    <row r="148" spans="1:13" x14ac:dyDescent="0.25">
      <c r="A148" s="60" t="s">
        <v>64</v>
      </c>
      <c r="B148" s="60"/>
      <c r="C148" s="60"/>
      <c r="D148" s="60"/>
      <c r="E148" s="60"/>
      <c r="F148" s="51"/>
      <c r="G148" s="51"/>
      <c r="H148" s="81"/>
      <c r="I148" s="111"/>
      <c r="J148" s="51"/>
      <c r="K148" s="51"/>
      <c r="L148" s="51"/>
      <c r="M148" s="51"/>
    </row>
    <row r="149" spans="1:13" ht="15.75" thickBot="1" x14ac:dyDescent="0.3">
      <c r="A149" s="61"/>
      <c r="B149" s="61"/>
      <c r="C149" s="61"/>
      <c r="D149" s="61"/>
      <c r="E149" s="62"/>
      <c r="F149" s="63"/>
      <c r="G149" s="64" t="s">
        <v>56</v>
      </c>
      <c r="H149" s="83"/>
      <c r="I149" s="113"/>
      <c r="J149"/>
      <c r="K149"/>
      <c r="L149"/>
      <c r="M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Requistion</vt:lpstr>
      <vt:lpstr>Editable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Harrold Lacroix</dc:creator>
  <cp:lastModifiedBy>Gayle Harrold Lacroix</cp:lastModifiedBy>
  <dcterms:created xsi:type="dcterms:W3CDTF">2021-05-30T19:08:17Z</dcterms:created>
  <dcterms:modified xsi:type="dcterms:W3CDTF">2021-05-31T20:13:18Z</dcterms:modified>
</cp:coreProperties>
</file>