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NeighborWorks\Strength Matters CFO Conveying\"/>
    </mc:Choice>
  </mc:AlternateContent>
  <bookViews>
    <workbookView xWindow="0" yWindow="0" windowWidth="14370" windowHeight="9720" firstSheet="4" activeTab="9"/>
  </bookViews>
  <sheets>
    <sheet name="Condensed BS" sheetId="3" r:id="rId1"/>
    <sheet name="Condensed IS" sheetId="4" r:id="rId2"/>
    <sheet name="Miscellaneous Expense" sheetId="17" r:id="rId3"/>
    <sheet name="Interest Bearing Assets" sheetId="9" r:id="rId4"/>
    <sheet name="Debt Sources" sheetId="8" r:id="rId5"/>
    <sheet name="Loan Amortization Schedule" sheetId="16" r:id="rId6"/>
    <sheet name="Donations and Events" sheetId="12" r:id="rId7"/>
    <sheet name="CF Summary " sheetId="5" r:id="rId8"/>
    <sheet name="2019 Budget Assumptions" sheetId="6" r:id="rId9"/>
    <sheet name="2019-2023 Updated Assumptions" sheetId="18" r:id="rId10"/>
  </sheets>
  <externalReferences>
    <externalReference r:id="rId11"/>
  </externalReferences>
  <definedNames>
    <definedName name="Beg_Bal" localSheetId="5">'Loan Amortization Schedule'!$C$18:$C$497</definedName>
    <definedName name="Beg_Bal">#REF!</definedName>
    <definedName name="Cum_Int">'Loan Amortization Schedule'!$J$18:$J$497</definedName>
    <definedName name="Data">'Loan Amortization Schedule'!$A$18:$J$497</definedName>
    <definedName name="End_Bal" localSheetId="5">'Loan Amortization Schedule'!$I$18:$I$497</definedName>
    <definedName name="End_Bal">'[1]Loan Amortization Schedule'!$I$18:$I$497</definedName>
    <definedName name="Extra_Pay" localSheetId="5">'Loan Amortization Schedule'!$E$18:$E$497</definedName>
    <definedName name="Extra_Pay">#REF!</definedName>
    <definedName name="Full_Print">'Loan Amortization Schedule'!$A$1:$J$497</definedName>
    <definedName name="Header_Row" localSheetId="5">ROW('Loan Amortization Schedule'!$17:$17)</definedName>
    <definedName name="Header_Row">ROW('[1]Loan Amortization Schedule'!$17:$17)</definedName>
    <definedName name="Int" localSheetId="5">'Loan Amortization Schedule'!$H$18:$H$497</definedName>
    <definedName name="Int">#REF!</definedName>
    <definedName name="Interest_Rate" localSheetId="5">'Loan Amortization Schedule'!$D$6</definedName>
    <definedName name="Interest_Rate">'[1]Loan Amortization Schedule'!$D$6</definedName>
    <definedName name="Last_Row" localSheetId="5">IF('Loan Amortization Schedule'!Values_Entered,'Loan Amortization Schedule'!Header_Row+'Loan Amortization Schedule'!Number_of_Payments,'Loan Amortization Schedule'!Header_Row)</definedName>
    <definedName name="Last_Row">IF(Values_Entered,Header_Row+Number_of_Payments,Header_Row)</definedName>
    <definedName name="Loan_Amount" localSheetId="5">'Loan Amortization Schedule'!$D$5</definedName>
    <definedName name="Loan_Amount">'[1]Loan Amortization Schedule'!$D$5</definedName>
    <definedName name="Loan_Start" localSheetId="5">'Loan Amortization Schedule'!$D$9</definedName>
    <definedName name="Loan_Start">'[1]Loan Amortization Schedule'!$D$9</definedName>
    <definedName name="Loan_Years" localSheetId="5">'Loan Amortization Schedule'!$D$7</definedName>
    <definedName name="Loan_Years">'[1]Loan Amortization Schedule'!$D$7</definedName>
    <definedName name="Num_Pmt_Per_Year" localSheetId="5">'Loan Amortization Schedule'!$D$8</definedName>
    <definedName name="Num_Pmt_Per_Year">#REF!</definedName>
    <definedName name="Number_of_Payments" localSheetId="5">MATCH(0.01,'Loan Amortization Schedule'!End_Bal,-1)+1</definedName>
    <definedName name="Number_of_Payments">MATCH(0.01,End_Bal,-1)+1</definedName>
    <definedName name="Pay_Date">'Loan Amortization Schedule'!$B$18:$B$497</definedName>
    <definedName name="Pay_Num" localSheetId="5">'Loan Amortization Schedule'!$A$18:$A$497</definedName>
    <definedName name="Pay_Num">#REF!</definedName>
    <definedName name="Payment_Date">DATE(YEAR('Loan Amortization Schedule'!Loan_Start),MONTH('Loan Amortization Schedule'!Loan_Start)+Payment_Number,DAY('Loan Amortization Schedule'!Loan_Start))</definedName>
    <definedName name="Princ" localSheetId="5">'Loan Amortization Schedule'!$G$18:$G$497</definedName>
    <definedName name="Princ">#REF!</definedName>
    <definedName name="_xlnm.Print_Area" localSheetId="7">'CF Summary '!$A$1:$O$46</definedName>
    <definedName name="_xlnm.Print_Area" localSheetId="0">'Condensed BS'!$A$1:$V$91</definedName>
    <definedName name="_xlnm.Print_Area" localSheetId="1">'Condensed IS'!$A$1:$X$76</definedName>
    <definedName name="_xlnm.Print_Area" localSheetId="3">'Interest Bearing Assets'!$A$1:$O$57</definedName>
    <definedName name="_xlnm.Print_Area" localSheetId="5">OFFSET(Full_Print,0,0,'Loan Amortization Schedule'!Last_Row)</definedName>
    <definedName name="Print_Area_Reset">OFFSET(Full_Print,0,0,'Loan Amortization Schedule'!Last_Row)</definedName>
    <definedName name="_xlnm.Print_Titles" localSheetId="5">'Loan Amortization Schedule'!$14:$17</definedName>
    <definedName name="Sched_Pay" localSheetId="5">'Loan Amortization Schedule'!$D$18:$D$497</definedName>
    <definedName name="Sched_Pay">#REF!</definedName>
    <definedName name="Scheduled_Extra_Payments" localSheetId="5">'Loan Amortization Schedule'!$D$10</definedName>
    <definedName name="Scheduled_Extra_Payments">#REF!</definedName>
    <definedName name="Scheduled_Interest_Rate">'Loan Amortization Schedule'!$D$6</definedName>
    <definedName name="Scheduled_Monthly_Payment" localSheetId="5">'Loan Amortization Schedule'!$J$5</definedName>
    <definedName name="Scheduled_Monthly_Payment">#REF!</definedName>
    <definedName name="Total_Interest">'Loan Amortization Schedule'!$J$9</definedName>
    <definedName name="Total_Pay" localSheetId="5">'Loan Amortization Schedule'!$F$18:$F$497</definedName>
    <definedName name="Total_Pay">#REF!</definedName>
    <definedName name="Values_Entered" localSheetId="5">IF('Loan Amortization Schedule'!Loan_Amount*'Loan Amortization Schedule'!Interest_Rate*'Loan Amortization Schedule'!Loan_Years*'Loan Amortization Schedule'!Loan_Start&gt;0,1,0)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7" i="3" l="1"/>
  <c r="N42" i="3"/>
  <c r="P42" i="3" l="1"/>
  <c r="R42" i="3" s="1"/>
  <c r="T42" i="3" s="1"/>
  <c r="V42" i="3" s="1"/>
  <c r="V48" i="3"/>
  <c r="T48" i="3"/>
  <c r="R48" i="3"/>
  <c r="P48" i="3"/>
  <c r="V44" i="3"/>
  <c r="T44" i="3"/>
  <c r="R44" i="3"/>
  <c r="P44" i="3"/>
  <c r="V43" i="3"/>
  <c r="T43" i="3"/>
  <c r="R43" i="3"/>
  <c r="P43" i="3"/>
  <c r="D97" i="3"/>
  <c r="N79" i="3"/>
  <c r="N51" i="3"/>
  <c r="I44" i="9"/>
  <c r="I39" i="9"/>
  <c r="N47" i="3"/>
  <c r="N44" i="3"/>
  <c r="O8" i="9"/>
  <c r="M8" i="9"/>
  <c r="K8" i="9"/>
  <c r="O39" i="9"/>
  <c r="M39" i="9"/>
  <c r="K39" i="9"/>
  <c r="O44" i="9"/>
  <c r="O18" i="9"/>
  <c r="M18" i="9"/>
  <c r="K18" i="9"/>
  <c r="I18" i="9"/>
  <c r="R35" i="8"/>
  <c r="R37" i="8"/>
  <c r="Q35" i="8"/>
  <c r="S35" i="8"/>
  <c r="P35" i="8"/>
  <c r="O35" i="8"/>
  <c r="X30" i="4"/>
  <c r="V30" i="4"/>
  <c r="T30" i="4"/>
  <c r="R30" i="4"/>
  <c r="R33" i="8"/>
  <c r="P31" i="8"/>
  <c r="M44" i="9"/>
  <c r="K44" i="9"/>
  <c r="I8" i="9"/>
  <c r="G11" i="5"/>
  <c r="G19" i="5" l="1"/>
  <c r="G33" i="9"/>
  <c r="R9" i="8"/>
  <c r="S9" i="8"/>
  <c r="Q9" i="8"/>
  <c r="P9" i="8"/>
  <c r="S10" i="8"/>
  <c r="R10" i="8"/>
  <c r="Q10" i="8"/>
  <c r="P10" i="8"/>
  <c r="S8" i="8"/>
  <c r="R8" i="8"/>
  <c r="Q8" i="8"/>
  <c r="P8" i="8"/>
  <c r="R26" i="8"/>
  <c r="R28" i="8"/>
  <c r="Q28" i="8"/>
  <c r="P28" i="8"/>
  <c r="O28" i="8"/>
  <c r="P20" i="8"/>
  <c r="S20" i="8"/>
  <c r="R20" i="8"/>
  <c r="Q20" i="8"/>
  <c r="S29" i="8" l="1"/>
  <c r="R29" i="8"/>
  <c r="Q29" i="8"/>
  <c r="P29" i="8"/>
  <c r="Q26" i="8"/>
  <c r="P26" i="8"/>
  <c r="S36" i="8"/>
  <c r="R36" i="8"/>
  <c r="Q36" i="8"/>
  <c r="P36" i="8"/>
  <c r="X40" i="4"/>
  <c r="V40" i="4"/>
  <c r="T40" i="4"/>
  <c r="R40" i="4"/>
  <c r="O20" i="8"/>
  <c r="O13" i="8"/>
  <c r="O23" i="8"/>
  <c r="O27" i="8"/>
  <c r="O36" i="8"/>
  <c r="O29" i="8"/>
  <c r="O26" i="8" l="1"/>
  <c r="S27" i="8" l="1"/>
  <c r="R27" i="8"/>
  <c r="Q27" i="8"/>
  <c r="P27" i="8"/>
  <c r="S25" i="8"/>
  <c r="R25" i="8"/>
  <c r="Q25" i="8"/>
  <c r="P25" i="8"/>
  <c r="O25" i="8"/>
  <c r="O10" i="8"/>
  <c r="O9" i="8"/>
  <c r="O8" i="8"/>
  <c r="X37" i="4" l="1"/>
  <c r="V37" i="4"/>
  <c r="T37" i="4"/>
  <c r="R37" i="4"/>
  <c r="P37" i="4"/>
  <c r="P41" i="4"/>
  <c r="P45" i="4"/>
  <c r="P46" i="4"/>
  <c r="P15" i="17"/>
  <c r="P14" i="17"/>
  <c r="P12" i="17"/>
  <c r="P11" i="17"/>
  <c r="P9" i="17"/>
  <c r="P7" i="17"/>
  <c r="P8" i="17"/>
  <c r="P18" i="17"/>
  <c r="X28" i="4"/>
  <c r="V28" i="4"/>
  <c r="T28" i="4"/>
  <c r="R28" i="4"/>
  <c r="X61" i="4"/>
  <c r="V61" i="4"/>
  <c r="T61" i="4"/>
  <c r="R61" i="4"/>
  <c r="I28" i="9" l="1"/>
  <c r="K28" i="9" s="1"/>
  <c r="M28" i="9" s="1"/>
  <c r="O28" i="9" s="1"/>
  <c r="M13" i="9"/>
  <c r="O13" i="9" s="1"/>
  <c r="K13" i="9"/>
  <c r="I13" i="9"/>
  <c r="P38" i="4" l="1"/>
  <c r="N69" i="4"/>
  <c r="N59" i="4"/>
  <c r="N47" i="4"/>
  <c r="N31" i="4"/>
  <c r="N32" i="4" s="1"/>
  <c r="N76" i="4" s="1"/>
  <c r="N19" i="4"/>
  <c r="N70" i="4" l="1"/>
  <c r="N75" i="4"/>
  <c r="N71" i="4"/>
  <c r="N74" i="4"/>
  <c r="P8" i="4" l="1"/>
  <c r="E13" i="5" l="1"/>
  <c r="L52" i="3"/>
  <c r="L28" i="3"/>
  <c r="L37" i="3" l="1"/>
  <c r="L38" i="3"/>
  <c r="E14" i="5"/>
  <c r="L58" i="4"/>
  <c r="L67" i="3"/>
  <c r="L72" i="3"/>
  <c r="L26" i="3"/>
  <c r="L70" i="3" l="1"/>
  <c r="L29" i="3"/>
  <c r="L16" i="4" l="1"/>
  <c r="L41" i="3" l="1"/>
  <c r="E35" i="5" l="1"/>
  <c r="E36" i="5"/>
  <c r="E38" i="5"/>
  <c r="E37" i="5" l="1"/>
  <c r="L48" i="3"/>
  <c r="L53" i="4"/>
  <c r="L37" i="4"/>
  <c r="L12" i="4"/>
  <c r="L24" i="4"/>
  <c r="L13" i="4"/>
  <c r="L42" i="3" l="1"/>
  <c r="L27" i="3"/>
  <c r="P53" i="3" l="1"/>
  <c r="R53" i="3" s="1"/>
  <c r="T53" i="3" s="1"/>
  <c r="V53" i="3" s="1"/>
  <c r="P52" i="3" l="1"/>
  <c r="R52" i="3" s="1"/>
  <c r="T52" i="3" s="1"/>
  <c r="V52" i="3" s="1"/>
  <c r="E26" i="5"/>
  <c r="G26" i="5"/>
  <c r="X10" i="17" l="1"/>
  <c r="V10" i="17"/>
  <c r="T10" i="17"/>
  <c r="R10" i="17"/>
  <c r="N10" i="17"/>
  <c r="X42" i="4" l="1"/>
  <c r="V42" i="4"/>
  <c r="T42" i="4"/>
  <c r="R42" i="4"/>
  <c r="P42" i="4"/>
  <c r="E19" i="5" l="1"/>
  <c r="E12" i="5"/>
  <c r="E11" i="5" l="1"/>
  <c r="R35" i="4" l="1"/>
  <c r="T35" i="4" s="1"/>
  <c r="V35" i="4" s="1"/>
  <c r="X35" i="4" s="1"/>
  <c r="H92" i="3" l="1"/>
  <c r="F92" i="3"/>
  <c r="D92" i="3"/>
  <c r="B92" i="3"/>
  <c r="N27" i="3" l="1"/>
  <c r="P27" i="3" s="1"/>
  <c r="R27" i="3" s="1"/>
  <c r="T27" i="3" s="1"/>
  <c r="V27" i="3" s="1"/>
  <c r="P47" i="3" l="1"/>
  <c r="R47" i="3" s="1"/>
  <c r="T47" i="3" s="1"/>
  <c r="V47" i="3" s="1"/>
  <c r="B18" i="17" l="1"/>
  <c r="F18" i="17"/>
  <c r="X18" i="17"/>
  <c r="X46" i="4" s="1"/>
  <c r="V18" i="17"/>
  <c r="V46" i="4" s="1"/>
  <c r="T18" i="17"/>
  <c r="T46" i="4" s="1"/>
  <c r="R18" i="17"/>
  <c r="R46" i="4" s="1"/>
  <c r="N18" i="17"/>
  <c r="L18" i="17"/>
  <c r="L46" i="4" s="1"/>
  <c r="L47" i="4" s="1"/>
  <c r="J18" i="17"/>
  <c r="H18" i="17"/>
  <c r="D18" i="17"/>
  <c r="K19" i="5" l="1"/>
  <c r="I19" i="5"/>
  <c r="O19" i="5"/>
  <c r="M19" i="5"/>
  <c r="E27" i="5"/>
  <c r="E25" i="5"/>
  <c r="J5" i="16" l="1"/>
  <c r="J6" i="16"/>
  <c r="A18" i="16"/>
  <c r="C18" i="16"/>
  <c r="D18" i="16" l="1"/>
  <c r="E18" i="16" s="1"/>
  <c r="A19" i="16"/>
  <c r="A20" i="16" s="1"/>
  <c r="D20" i="16" s="1"/>
  <c r="H18" i="16"/>
  <c r="B18" i="16"/>
  <c r="B19" i="16" l="1"/>
  <c r="J18" i="16"/>
  <c r="A21" i="16"/>
  <c r="B20" i="16"/>
  <c r="D19" i="16"/>
  <c r="F18" i="16"/>
  <c r="G18" i="16" s="1"/>
  <c r="I18" i="16" s="1"/>
  <c r="B21" i="16" l="1"/>
  <c r="A22" i="16"/>
  <c r="D21" i="16"/>
  <c r="C19" i="16"/>
  <c r="D22" i="16" l="1"/>
  <c r="B22" i="16"/>
  <c r="A23" i="16"/>
  <c r="H19" i="16"/>
  <c r="E19" i="16"/>
  <c r="A24" i="16" l="1"/>
  <c r="B23" i="16"/>
  <c r="D23" i="16"/>
  <c r="J19" i="16"/>
  <c r="F19" i="16"/>
  <c r="G19" i="16" s="1"/>
  <c r="I19" i="16" l="1"/>
  <c r="C20" i="16" s="1"/>
  <c r="A25" i="16"/>
  <c r="B24" i="16"/>
  <c r="D24" i="16"/>
  <c r="D25" i="16" l="1"/>
  <c r="A26" i="16"/>
  <c r="B25" i="16"/>
  <c r="H20" i="16"/>
  <c r="E20" i="16"/>
  <c r="D26" i="16" l="1"/>
  <c r="B26" i="16"/>
  <c r="A27" i="16"/>
  <c r="F20" i="16"/>
  <c r="G20" i="16" s="1"/>
  <c r="I20" i="16" s="1"/>
  <c r="J20" i="16"/>
  <c r="D27" i="16" l="1"/>
  <c r="B27" i="16"/>
  <c r="A28" i="16"/>
  <c r="C21" i="16"/>
  <c r="A29" i="16" l="1"/>
  <c r="B28" i="16"/>
  <c r="D28" i="16"/>
  <c r="H21" i="16"/>
  <c r="E21" i="16"/>
  <c r="A30" i="16" l="1"/>
  <c r="D29" i="16"/>
  <c r="B29" i="16"/>
  <c r="F21" i="16"/>
  <c r="G21" i="16" s="1"/>
  <c r="I21" i="16" s="1"/>
  <c r="J21" i="16"/>
  <c r="B30" i="16" l="1"/>
  <c r="D30" i="16"/>
  <c r="A31" i="16"/>
  <c r="C22" i="16"/>
  <c r="D31" i="16" l="1"/>
  <c r="A32" i="16"/>
  <c r="B31" i="16"/>
  <c r="H22" i="16"/>
  <c r="E22" i="16"/>
  <c r="B32" i="16" l="1"/>
  <c r="D32" i="16"/>
  <c r="A33" i="16"/>
  <c r="J22" i="16"/>
  <c r="F22" i="16"/>
  <c r="G22" i="16" s="1"/>
  <c r="I22" i="16" s="1"/>
  <c r="A34" i="16" l="1"/>
  <c r="B33" i="16"/>
  <c r="D33" i="16"/>
  <c r="C23" i="16"/>
  <c r="B34" i="16" l="1"/>
  <c r="A35" i="16"/>
  <c r="D34" i="16"/>
  <c r="H23" i="16"/>
  <c r="E23" i="16"/>
  <c r="B35" i="16" l="1"/>
  <c r="A36" i="16"/>
  <c r="D35" i="16"/>
  <c r="J23" i="16"/>
  <c r="F23" i="16"/>
  <c r="G23" i="16" s="1"/>
  <c r="I23" i="16" s="1"/>
  <c r="C24" i="16" s="1"/>
  <c r="D36" i="16" l="1"/>
  <c r="A37" i="16"/>
  <c r="B36" i="16"/>
  <c r="H24" i="16"/>
  <c r="J24" i="16" s="1"/>
  <c r="E24" i="16"/>
  <c r="B37" i="16" l="1"/>
  <c r="D37" i="16"/>
  <c r="A38" i="16"/>
  <c r="F24" i="16"/>
  <c r="G24" i="16" s="1"/>
  <c r="I24" i="16" s="1"/>
  <c r="C25" i="16" s="1"/>
  <c r="A39" i="16" l="1"/>
  <c r="D38" i="16"/>
  <c r="B38" i="16"/>
  <c r="H25" i="16"/>
  <c r="J25" i="16" s="1"/>
  <c r="E25" i="16"/>
  <c r="B39" i="16" l="1"/>
  <c r="A40" i="16"/>
  <c r="D39" i="16"/>
  <c r="F25" i="16"/>
  <c r="G25" i="16" s="1"/>
  <c r="I25" i="16" s="1"/>
  <c r="C26" i="16" s="1"/>
  <c r="D40" i="16" l="1"/>
  <c r="A41" i="16"/>
  <c r="B40" i="16"/>
  <c r="H26" i="16"/>
  <c r="J26" i="16" s="1"/>
  <c r="E26" i="16"/>
  <c r="B41" i="16" l="1"/>
  <c r="D41" i="16"/>
  <c r="A42" i="16"/>
  <c r="F26" i="16"/>
  <c r="G26" i="16" s="1"/>
  <c r="I26" i="16" s="1"/>
  <c r="C27" i="16" s="1"/>
  <c r="D42" i="16" l="1"/>
  <c r="A43" i="16"/>
  <c r="B42" i="16"/>
  <c r="H27" i="16"/>
  <c r="J27" i="16" s="1"/>
  <c r="E27" i="16"/>
  <c r="D43" i="16" l="1"/>
  <c r="A44" i="16"/>
  <c r="B43" i="16"/>
  <c r="F27" i="16"/>
  <c r="G27" i="16" s="1"/>
  <c r="I27" i="16" s="1"/>
  <c r="C28" i="16" s="1"/>
  <c r="D44" i="16" l="1"/>
  <c r="A45" i="16"/>
  <c r="B44" i="16"/>
  <c r="H28" i="16"/>
  <c r="J28" i="16" s="1"/>
  <c r="E28" i="16"/>
  <c r="A46" i="16" l="1"/>
  <c r="B45" i="16"/>
  <c r="D45" i="16"/>
  <c r="F28" i="16"/>
  <c r="G28" i="16" s="1"/>
  <c r="I28" i="16" s="1"/>
  <c r="C29" i="16" s="1"/>
  <c r="A47" i="16" l="1"/>
  <c r="B46" i="16"/>
  <c r="D46" i="16"/>
  <c r="H29" i="16"/>
  <c r="E29" i="16"/>
  <c r="J29" i="16" l="1"/>
  <c r="B47" i="16"/>
  <c r="D47" i="16"/>
  <c r="A48" i="16"/>
  <c r="F29" i="16"/>
  <c r="G29" i="16" s="1"/>
  <c r="I29" i="16" l="1"/>
  <c r="C30" i="16" s="1"/>
  <c r="E30" i="16" s="1"/>
  <c r="D48" i="16"/>
  <c r="A49" i="16"/>
  <c r="B48" i="16"/>
  <c r="H30" i="16" l="1"/>
  <c r="J30" i="16" s="1"/>
  <c r="B49" i="16"/>
  <c r="D49" i="16"/>
  <c r="A50" i="16"/>
  <c r="F30" i="16"/>
  <c r="G30" i="16" s="1"/>
  <c r="I30" i="16" s="1"/>
  <c r="C31" i="16" s="1"/>
  <c r="A51" i="16" l="1"/>
  <c r="D50" i="16"/>
  <c r="B50" i="16"/>
  <c r="H31" i="16"/>
  <c r="E31" i="16"/>
  <c r="J31" i="16" l="1"/>
  <c r="D51" i="16"/>
  <c r="A52" i="16"/>
  <c r="B51" i="16"/>
  <c r="F31" i="16"/>
  <c r="G31" i="16" s="1"/>
  <c r="I31" i="16" s="1"/>
  <c r="C32" i="16" s="1"/>
  <c r="D52" i="16" l="1"/>
  <c r="A53" i="16"/>
  <c r="B52" i="16"/>
  <c r="H32" i="16"/>
  <c r="E32" i="16"/>
  <c r="J32" i="16" l="1"/>
  <c r="B53" i="16"/>
  <c r="A54" i="16"/>
  <c r="D53" i="16"/>
  <c r="F32" i="16"/>
  <c r="G32" i="16" s="1"/>
  <c r="I32" i="16" s="1"/>
  <c r="C33" i="16" s="1"/>
  <c r="A55" i="16" l="1"/>
  <c r="D54" i="16"/>
  <c r="B54" i="16"/>
  <c r="H33" i="16"/>
  <c r="E33" i="16"/>
  <c r="J33" i="16" l="1"/>
  <c r="B55" i="16"/>
  <c r="D55" i="16"/>
  <c r="A56" i="16"/>
  <c r="F33" i="16"/>
  <c r="G33" i="16" s="1"/>
  <c r="I33" i="16" s="1"/>
  <c r="C34" i="16" s="1"/>
  <c r="B56" i="16" l="1"/>
  <c r="D56" i="16"/>
  <c r="A57" i="16"/>
  <c r="E34" i="16"/>
  <c r="H34" i="16"/>
  <c r="J34" i="16" l="1"/>
  <c r="D57" i="16"/>
  <c r="B57" i="16"/>
  <c r="A58" i="16"/>
  <c r="F34" i="16"/>
  <c r="G34" i="16" s="1"/>
  <c r="I34" i="16" s="1"/>
  <c r="C35" i="16" s="1"/>
  <c r="D58" i="16" l="1"/>
  <c r="A59" i="16"/>
  <c r="B58" i="16"/>
  <c r="H35" i="16"/>
  <c r="J35" i="16" s="1"/>
  <c r="E35" i="16"/>
  <c r="D59" i="16" l="1"/>
  <c r="B59" i="16"/>
  <c r="A60" i="16"/>
  <c r="F35" i="16"/>
  <c r="G35" i="16" s="1"/>
  <c r="I35" i="16" s="1"/>
  <c r="C36" i="16" s="1"/>
  <c r="D60" i="16" l="1"/>
  <c r="A61" i="16"/>
  <c r="B60" i="16"/>
  <c r="H36" i="16"/>
  <c r="J36" i="16" s="1"/>
  <c r="E36" i="16"/>
  <c r="B61" i="16" l="1"/>
  <c r="D61" i="16"/>
  <c r="A62" i="16"/>
  <c r="F36" i="16"/>
  <c r="G36" i="16" s="1"/>
  <c r="I36" i="16" s="1"/>
  <c r="C37" i="16" s="1"/>
  <c r="A63" i="16" l="1"/>
  <c r="B62" i="16"/>
  <c r="D62" i="16"/>
  <c r="H37" i="16"/>
  <c r="J37" i="16" s="1"/>
  <c r="E37" i="16"/>
  <c r="B63" i="16" l="1"/>
  <c r="A64" i="16"/>
  <c r="D63" i="16"/>
  <c r="F37" i="16"/>
  <c r="G37" i="16" s="1"/>
  <c r="I37" i="16" s="1"/>
  <c r="C38" i="16" s="1"/>
  <c r="A65" i="16" l="1"/>
  <c r="B64" i="16"/>
  <c r="D64" i="16"/>
  <c r="H38" i="16"/>
  <c r="J38" i="16" s="1"/>
  <c r="E38" i="16"/>
  <c r="B65" i="16" l="1"/>
  <c r="A66" i="16"/>
  <c r="D65" i="16"/>
  <c r="F38" i="16"/>
  <c r="G38" i="16" s="1"/>
  <c r="I38" i="16" s="1"/>
  <c r="C39" i="16" s="1"/>
  <c r="B66" i="16" l="1"/>
  <c r="A67" i="16"/>
  <c r="D66" i="16"/>
  <c r="E39" i="16"/>
  <c r="H39" i="16"/>
  <c r="J39" i="16" s="1"/>
  <c r="B67" i="16" l="1"/>
  <c r="A68" i="16"/>
  <c r="D67" i="16"/>
  <c r="F39" i="16"/>
  <c r="G39" i="16" s="1"/>
  <c r="I39" i="16" s="1"/>
  <c r="C40" i="16" s="1"/>
  <c r="A69" i="16" l="1"/>
  <c r="B68" i="16"/>
  <c r="D68" i="16"/>
  <c r="E40" i="16"/>
  <c r="H40" i="16"/>
  <c r="J40" i="16" s="1"/>
  <c r="D69" i="16" l="1"/>
  <c r="A70" i="16"/>
  <c r="B69" i="16"/>
  <c r="F40" i="16"/>
  <c r="G40" i="16" s="1"/>
  <c r="I40" i="16" s="1"/>
  <c r="C41" i="16" s="1"/>
  <c r="A71" i="16" l="1"/>
  <c r="D70" i="16"/>
  <c r="B70" i="16"/>
  <c r="H41" i="16"/>
  <c r="E41" i="16"/>
  <c r="J41" i="16" l="1"/>
  <c r="D71" i="16"/>
  <c r="A72" i="16"/>
  <c r="B71" i="16"/>
  <c r="F41" i="16"/>
  <c r="G41" i="16" s="1"/>
  <c r="I41" i="16" s="1"/>
  <c r="C42" i="16" s="1"/>
  <c r="B72" i="16" l="1"/>
  <c r="A73" i="16"/>
  <c r="D72" i="16"/>
  <c r="H42" i="16"/>
  <c r="E42" i="16"/>
  <c r="J42" i="16" l="1"/>
  <c r="B73" i="16"/>
  <c r="D73" i="16"/>
  <c r="A74" i="16"/>
  <c r="F42" i="16"/>
  <c r="G42" i="16" s="1"/>
  <c r="I42" i="16" s="1"/>
  <c r="C43" i="16" s="1"/>
  <c r="A75" i="16" l="1"/>
  <c r="B74" i="16"/>
  <c r="D74" i="16"/>
  <c r="H43" i="16"/>
  <c r="E43" i="16"/>
  <c r="J43" i="16" l="1"/>
  <c r="B75" i="16"/>
  <c r="A76" i="16"/>
  <c r="D75" i="16"/>
  <c r="F43" i="16"/>
  <c r="G43" i="16" s="1"/>
  <c r="I43" i="16" s="1"/>
  <c r="C44" i="16" s="1"/>
  <c r="A77" i="16" l="1"/>
  <c r="D76" i="16"/>
  <c r="B76" i="16"/>
  <c r="E44" i="16"/>
  <c r="H44" i="16"/>
  <c r="J44" i="16" l="1"/>
  <c r="D77" i="16"/>
  <c r="A78" i="16"/>
  <c r="B77" i="16"/>
  <c r="F44" i="16"/>
  <c r="G44" i="16" s="1"/>
  <c r="I44" i="16" s="1"/>
  <c r="C45" i="16" s="1"/>
  <c r="A79" i="16" l="1"/>
  <c r="B78" i="16"/>
  <c r="D78" i="16"/>
  <c r="H45" i="16"/>
  <c r="E45" i="16"/>
  <c r="J45" i="16" l="1"/>
  <c r="B79" i="16"/>
  <c r="A80" i="16"/>
  <c r="D79" i="16"/>
  <c r="F45" i="16"/>
  <c r="G45" i="16" s="1"/>
  <c r="I45" i="16" s="1"/>
  <c r="C46" i="16" s="1"/>
  <c r="B80" i="16" l="1"/>
  <c r="A81" i="16"/>
  <c r="D80" i="16"/>
  <c r="H46" i="16"/>
  <c r="E46" i="16"/>
  <c r="J46" i="16" l="1"/>
  <c r="B81" i="16"/>
  <c r="A82" i="16"/>
  <c r="D81" i="16"/>
  <c r="F46" i="16"/>
  <c r="G46" i="16" s="1"/>
  <c r="I46" i="16" s="1"/>
  <c r="C47" i="16" s="1"/>
  <c r="A83" i="16" l="1"/>
  <c r="B82" i="16"/>
  <c r="D82" i="16"/>
  <c r="H47" i="16"/>
  <c r="J47" i="16" s="1"/>
  <c r="E47" i="16"/>
  <c r="D83" i="16" l="1"/>
  <c r="A84" i="16"/>
  <c r="B83" i="16"/>
  <c r="F47" i="16"/>
  <c r="G47" i="16" s="1"/>
  <c r="I47" i="16" s="1"/>
  <c r="C48" i="16" s="1"/>
  <c r="B84" i="16" l="1"/>
  <c r="A85" i="16"/>
  <c r="D84" i="16"/>
  <c r="E48" i="16"/>
  <c r="H48" i="16"/>
  <c r="J48" i="16" s="1"/>
  <c r="D85" i="16" l="1"/>
  <c r="A86" i="16"/>
  <c r="B85" i="16"/>
  <c r="F48" i="16"/>
  <c r="G48" i="16" s="1"/>
  <c r="I48" i="16" s="1"/>
  <c r="C49" i="16" s="1"/>
  <c r="A87" i="16" l="1"/>
  <c r="B86" i="16"/>
  <c r="D86" i="16"/>
  <c r="H49" i="16"/>
  <c r="J49" i="16" s="1"/>
  <c r="E49" i="16"/>
  <c r="B87" i="16" l="1"/>
  <c r="A88" i="16"/>
  <c r="D87" i="16"/>
  <c r="F49" i="16"/>
  <c r="G49" i="16" s="1"/>
  <c r="I49" i="16" s="1"/>
  <c r="C50" i="16" s="1"/>
  <c r="D88" i="16" l="1"/>
  <c r="B88" i="16"/>
  <c r="A89" i="16"/>
  <c r="H50" i="16"/>
  <c r="J50" i="16" s="1"/>
  <c r="E50" i="16"/>
  <c r="D89" i="16" l="1"/>
  <c r="B89" i="16"/>
  <c r="A90" i="16"/>
  <c r="F50" i="16"/>
  <c r="G50" i="16" s="1"/>
  <c r="I50" i="16" s="1"/>
  <c r="C51" i="16" s="1"/>
  <c r="A91" i="16" l="1"/>
  <c r="B90" i="16"/>
  <c r="D90" i="16"/>
  <c r="H51" i="16"/>
  <c r="J51" i="16" s="1"/>
  <c r="E51" i="16"/>
  <c r="A92" i="16" l="1"/>
  <c r="D91" i="16"/>
  <c r="B91" i="16"/>
  <c r="F51" i="16"/>
  <c r="G51" i="16" s="1"/>
  <c r="I51" i="16" s="1"/>
  <c r="C52" i="16" s="1"/>
  <c r="D92" i="16" l="1"/>
  <c r="B92" i="16"/>
  <c r="A93" i="16"/>
  <c r="E52" i="16"/>
  <c r="H52" i="16"/>
  <c r="J52" i="16" s="1"/>
  <c r="D93" i="16" l="1"/>
  <c r="B93" i="16"/>
  <c r="A94" i="16"/>
  <c r="F52" i="16"/>
  <c r="G52" i="16" s="1"/>
  <c r="I52" i="16" s="1"/>
  <c r="C53" i="16" s="1"/>
  <c r="B94" i="16" l="1"/>
  <c r="A95" i="16"/>
  <c r="D94" i="16"/>
  <c r="H53" i="16"/>
  <c r="E53" i="16"/>
  <c r="J53" i="16" l="1"/>
  <c r="D95" i="16"/>
  <c r="B95" i="16"/>
  <c r="A96" i="16"/>
  <c r="F53" i="16"/>
  <c r="G53" i="16" s="1"/>
  <c r="I53" i="16" s="1"/>
  <c r="C54" i="16" s="1"/>
  <c r="A97" i="16" l="1"/>
  <c r="B96" i="16"/>
  <c r="D96" i="16"/>
  <c r="H54" i="16"/>
  <c r="E54" i="16"/>
  <c r="J54" i="16" l="1"/>
  <c r="A98" i="16"/>
  <c r="D97" i="16"/>
  <c r="B97" i="16"/>
  <c r="F54" i="16"/>
  <c r="G54" i="16" s="1"/>
  <c r="I54" i="16" s="1"/>
  <c r="C55" i="16" s="1"/>
  <c r="A99" i="16" l="1"/>
  <c r="B98" i="16"/>
  <c r="D98" i="16"/>
  <c r="E55" i="16"/>
  <c r="H55" i="16"/>
  <c r="J55" i="16" l="1"/>
  <c r="A100" i="16"/>
  <c r="B99" i="16"/>
  <c r="D99" i="16"/>
  <c r="F55" i="16"/>
  <c r="G55" i="16" s="1"/>
  <c r="I55" i="16" s="1"/>
  <c r="C56" i="16" s="1"/>
  <c r="B100" i="16" l="1"/>
  <c r="A101" i="16"/>
  <c r="D100" i="16"/>
  <c r="E56" i="16"/>
  <c r="H56" i="16"/>
  <c r="J56" i="16" l="1"/>
  <c r="B101" i="16"/>
  <c r="D101" i="16"/>
  <c r="A102" i="16"/>
  <c r="F56" i="16"/>
  <c r="G56" i="16" s="1"/>
  <c r="I56" i="16" s="1"/>
  <c r="C57" i="16" s="1"/>
  <c r="A103" i="16" l="1"/>
  <c r="B102" i="16"/>
  <c r="D102" i="16"/>
  <c r="H57" i="16"/>
  <c r="E57" i="16"/>
  <c r="J57" i="16" l="1"/>
  <c r="B103" i="16"/>
  <c r="D103" i="16"/>
  <c r="A104" i="16"/>
  <c r="F57" i="16"/>
  <c r="G57" i="16" s="1"/>
  <c r="I57" i="16" s="1"/>
  <c r="C58" i="16" s="1"/>
  <c r="B104" i="16" l="1"/>
  <c r="A105" i="16"/>
  <c r="D104" i="16"/>
  <c r="H58" i="16"/>
  <c r="E58" i="16"/>
  <c r="J58" i="16" l="1"/>
  <c r="B105" i="16"/>
  <c r="A106" i="16"/>
  <c r="D105" i="16"/>
  <c r="F58" i="16"/>
  <c r="G58" i="16" s="1"/>
  <c r="I58" i="16" s="1"/>
  <c r="C59" i="16" s="1"/>
  <c r="A107" i="16" l="1"/>
  <c r="B106" i="16"/>
  <c r="D106" i="16"/>
  <c r="H59" i="16"/>
  <c r="J59" i="16" s="1"/>
  <c r="E59" i="16"/>
  <c r="B107" i="16" l="1"/>
  <c r="D107" i="16"/>
  <c r="A108" i="16"/>
  <c r="F59" i="16"/>
  <c r="G59" i="16" s="1"/>
  <c r="I59" i="16" s="1"/>
  <c r="C60" i="16" s="1"/>
  <c r="B108" i="16" l="1"/>
  <c r="A109" i="16"/>
  <c r="D108" i="16"/>
  <c r="E60" i="16"/>
  <c r="H60" i="16"/>
  <c r="J60" i="16" s="1"/>
  <c r="D109" i="16" l="1"/>
  <c r="A110" i="16"/>
  <c r="B109" i="16"/>
  <c r="F60" i="16"/>
  <c r="G60" i="16" s="1"/>
  <c r="I60" i="16" s="1"/>
  <c r="C61" i="16" s="1"/>
  <c r="A111" i="16" l="1"/>
  <c r="B110" i="16"/>
  <c r="D110" i="16"/>
  <c r="E61" i="16"/>
  <c r="H61" i="16"/>
  <c r="J61" i="16" s="1"/>
  <c r="B111" i="16" l="1"/>
  <c r="A112" i="16"/>
  <c r="D111" i="16"/>
  <c r="F61" i="16"/>
  <c r="G61" i="16" s="1"/>
  <c r="I61" i="16" s="1"/>
  <c r="C62" i="16" s="1"/>
  <c r="A113" i="16" l="1"/>
  <c r="B112" i="16"/>
  <c r="D112" i="16"/>
  <c r="E62" i="16"/>
  <c r="H62" i="16"/>
  <c r="J62" i="16" s="1"/>
  <c r="D113" i="16" l="1"/>
  <c r="A114" i="16"/>
  <c r="B113" i="16"/>
  <c r="F62" i="16"/>
  <c r="G62" i="16" s="1"/>
  <c r="I62" i="16" s="1"/>
  <c r="C63" i="16" s="1"/>
  <c r="A115" i="16" l="1"/>
  <c r="B114" i="16"/>
  <c r="D114" i="16"/>
  <c r="H63" i="16"/>
  <c r="J63" i="16" s="1"/>
  <c r="E63" i="16"/>
  <c r="B115" i="16" l="1"/>
  <c r="D115" i="16"/>
  <c r="A116" i="16"/>
  <c r="F63" i="16"/>
  <c r="G63" i="16" s="1"/>
  <c r="I63" i="16" s="1"/>
  <c r="C64" i="16" s="1"/>
  <c r="A117" i="16" l="1"/>
  <c r="B116" i="16"/>
  <c r="D116" i="16"/>
  <c r="E64" i="16"/>
  <c r="H64" i="16"/>
  <c r="J64" i="16" s="1"/>
  <c r="D117" i="16" l="1"/>
  <c r="A118" i="16"/>
  <c r="B117" i="16"/>
  <c r="F64" i="16"/>
  <c r="G64" i="16" s="1"/>
  <c r="I64" i="16" s="1"/>
  <c r="C65" i="16" s="1"/>
  <c r="B118" i="16" l="1"/>
  <c r="A119" i="16"/>
  <c r="D118" i="16"/>
  <c r="H65" i="16"/>
  <c r="E65" i="16"/>
  <c r="J65" i="16" l="1"/>
  <c r="D119" i="16"/>
  <c r="A120" i="16"/>
  <c r="B119" i="16"/>
  <c r="F65" i="16"/>
  <c r="G65" i="16" s="1"/>
  <c r="I65" i="16" s="1"/>
  <c r="C66" i="16" s="1"/>
  <c r="D120" i="16" l="1"/>
  <c r="A121" i="16"/>
  <c r="B120" i="16"/>
  <c r="H66" i="16"/>
  <c r="E66" i="16"/>
  <c r="J66" i="16" l="1"/>
  <c r="A122" i="16"/>
  <c r="B121" i="16"/>
  <c r="D121" i="16"/>
  <c r="F66" i="16"/>
  <c r="G66" i="16" s="1"/>
  <c r="I66" i="16" s="1"/>
  <c r="C67" i="16" s="1"/>
  <c r="A123" i="16" l="1"/>
  <c r="B122" i="16"/>
  <c r="D122" i="16"/>
  <c r="E67" i="16"/>
  <c r="H67" i="16"/>
  <c r="J67" i="16" l="1"/>
  <c r="B123" i="16"/>
  <c r="D123" i="16"/>
  <c r="A124" i="16"/>
  <c r="F67" i="16"/>
  <c r="G67" i="16" s="1"/>
  <c r="I67" i="16" s="1"/>
  <c r="C68" i="16" s="1"/>
  <c r="B124" i="16" l="1"/>
  <c r="A125" i="16"/>
  <c r="D124" i="16"/>
  <c r="H68" i="16"/>
  <c r="E68" i="16"/>
  <c r="J68" i="16" l="1"/>
  <c r="A126" i="16"/>
  <c r="B125" i="16"/>
  <c r="D125" i="16"/>
  <c r="F68" i="16"/>
  <c r="G68" i="16" s="1"/>
  <c r="I68" i="16" s="1"/>
  <c r="C69" i="16" s="1"/>
  <c r="B126" i="16" l="1"/>
  <c r="A127" i="16"/>
  <c r="D126" i="16"/>
  <c r="E69" i="16"/>
  <c r="H69" i="16"/>
  <c r="J69" i="16" l="1"/>
  <c r="A128" i="16"/>
  <c r="D127" i="16"/>
  <c r="B127" i="16"/>
  <c r="F69" i="16"/>
  <c r="G69" i="16" s="1"/>
  <c r="I69" i="16" s="1"/>
  <c r="C70" i="16" s="1"/>
  <c r="A129" i="16" l="1"/>
  <c r="B128" i="16"/>
  <c r="D128" i="16"/>
  <c r="H70" i="16"/>
  <c r="E70" i="16"/>
  <c r="J70" i="16" l="1"/>
  <c r="B129" i="16"/>
  <c r="A130" i="16"/>
  <c r="D129" i="16"/>
  <c r="F70" i="16"/>
  <c r="G70" i="16" s="1"/>
  <c r="I70" i="16" s="1"/>
  <c r="C71" i="16" s="1"/>
  <c r="A131" i="16" l="1"/>
  <c r="B130" i="16"/>
  <c r="D130" i="16"/>
  <c r="H71" i="16"/>
  <c r="J71" i="16" s="1"/>
  <c r="E71" i="16"/>
  <c r="B131" i="16" l="1"/>
  <c r="D131" i="16"/>
  <c r="A132" i="16"/>
  <c r="F71" i="16"/>
  <c r="G71" i="16" s="1"/>
  <c r="I71" i="16" s="1"/>
  <c r="C72" i="16" s="1"/>
  <c r="B132" i="16" l="1"/>
  <c r="A133" i="16"/>
  <c r="D132" i="16"/>
  <c r="H72" i="16"/>
  <c r="J72" i="16" s="1"/>
  <c r="E72" i="16"/>
  <c r="B133" i="16" l="1"/>
  <c r="D133" i="16"/>
  <c r="A134" i="16"/>
  <c r="F72" i="16"/>
  <c r="G72" i="16" s="1"/>
  <c r="I72" i="16" s="1"/>
  <c r="C73" i="16" s="1"/>
  <c r="A135" i="16" l="1"/>
  <c r="B134" i="16"/>
  <c r="D134" i="16"/>
  <c r="E73" i="16"/>
  <c r="H73" i="16"/>
  <c r="J73" i="16" s="1"/>
  <c r="A136" i="16" l="1"/>
  <c r="B135" i="16"/>
  <c r="D135" i="16"/>
  <c r="F73" i="16"/>
  <c r="G73" i="16" s="1"/>
  <c r="I73" i="16" s="1"/>
  <c r="C74" i="16" s="1"/>
  <c r="D136" i="16" l="1"/>
  <c r="B136" i="16"/>
  <c r="A137" i="16"/>
  <c r="E74" i="16"/>
  <c r="H74" i="16"/>
  <c r="J74" i="16" s="1"/>
  <c r="A138" i="16" l="1"/>
  <c r="D137" i="16"/>
  <c r="B137" i="16"/>
  <c r="F74" i="16"/>
  <c r="G74" i="16" s="1"/>
  <c r="I74" i="16" s="1"/>
  <c r="C75" i="16" s="1"/>
  <c r="B138" i="16" l="1"/>
  <c r="A139" i="16"/>
  <c r="D138" i="16"/>
  <c r="H75" i="16"/>
  <c r="J75" i="16" s="1"/>
  <c r="E75" i="16"/>
  <c r="D139" i="16" l="1"/>
  <c r="A140" i="16"/>
  <c r="B139" i="16"/>
  <c r="F75" i="16"/>
  <c r="G75" i="16" s="1"/>
  <c r="I75" i="16" s="1"/>
  <c r="C76" i="16" s="1"/>
  <c r="A141" i="16" l="1"/>
  <c r="B140" i="16"/>
  <c r="D140" i="16"/>
  <c r="H76" i="16"/>
  <c r="J76" i="16" s="1"/>
  <c r="E76" i="16"/>
  <c r="B141" i="16" l="1"/>
  <c r="D141" i="16"/>
  <c r="A142" i="16"/>
  <c r="F76" i="16"/>
  <c r="G76" i="16" s="1"/>
  <c r="I76" i="16" s="1"/>
  <c r="C77" i="16" s="1"/>
  <c r="A143" i="16" l="1"/>
  <c r="B142" i="16"/>
  <c r="D142" i="16"/>
  <c r="H77" i="16"/>
  <c r="E77" i="16"/>
  <c r="J77" i="16" l="1"/>
  <c r="D143" i="16"/>
  <c r="B143" i="16"/>
  <c r="A144" i="16"/>
  <c r="F77" i="16"/>
  <c r="G77" i="16" s="1"/>
  <c r="I77" i="16" s="1"/>
  <c r="C78" i="16" s="1"/>
  <c r="B144" i="16" l="1"/>
  <c r="A145" i="16"/>
  <c r="D144" i="16"/>
  <c r="E78" i="16"/>
  <c r="H78" i="16"/>
  <c r="J78" i="16" s="1"/>
  <c r="D145" i="16" l="1"/>
  <c r="B145" i="16"/>
  <c r="A146" i="16"/>
  <c r="F78" i="16"/>
  <c r="G78" i="16" s="1"/>
  <c r="I78" i="16" s="1"/>
  <c r="C79" i="16" s="1"/>
  <c r="A147" i="16" l="1"/>
  <c r="D146" i="16"/>
  <c r="B146" i="16"/>
  <c r="E79" i="16"/>
  <c r="H79" i="16"/>
  <c r="J79" i="16" s="1"/>
  <c r="B147" i="16" l="1"/>
  <c r="D147" i="16"/>
  <c r="A148" i="16"/>
  <c r="F79" i="16"/>
  <c r="G79" i="16" s="1"/>
  <c r="I79" i="16" s="1"/>
  <c r="C80" i="16" s="1"/>
  <c r="D148" i="16" l="1"/>
  <c r="A149" i="16"/>
  <c r="B148" i="16"/>
  <c r="E80" i="16"/>
  <c r="H80" i="16"/>
  <c r="J80" i="16" s="1"/>
  <c r="A150" i="16" l="1"/>
  <c r="D149" i="16"/>
  <c r="B149" i="16"/>
  <c r="F80" i="16"/>
  <c r="G80" i="16" s="1"/>
  <c r="I80" i="16" s="1"/>
  <c r="C81" i="16" s="1"/>
  <c r="D150" i="16" l="1"/>
  <c r="A151" i="16"/>
  <c r="B150" i="16"/>
  <c r="H81" i="16"/>
  <c r="J81" i="16" s="1"/>
  <c r="E81" i="16"/>
  <c r="A152" i="16" l="1"/>
  <c r="D151" i="16"/>
  <c r="B151" i="16"/>
  <c r="F81" i="16"/>
  <c r="G81" i="16" s="1"/>
  <c r="I81" i="16" s="1"/>
  <c r="C82" i="16" s="1"/>
  <c r="D152" i="16" l="1"/>
  <c r="A153" i="16"/>
  <c r="B152" i="16"/>
  <c r="H82" i="16"/>
  <c r="J82" i="16" s="1"/>
  <c r="E82" i="16"/>
  <c r="D153" i="16" l="1"/>
  <c r="A154" i="16"/>
  <c r="B153" i="16"/>
  <c r="F82" i="16"/>
  <c r="G82" i="16" s="1"/>
  <c r="I82" i="16" s="1"/>
  <c r="C83" i="16" s="1"/>
  <c r="A155" i="16" l="1"/>
  <c r="D154" i="16"/>
  <c r="B154" i="16"/>
  <c r="H83" i="16"/>
  <c r="J83" i="16" s="1"/>
  <c r="E83" i="16"/>
  <c r="A156" i="16" l="1"/>
  <c r="D155" i="16"/>
  <c r="B155" i="16"/>
  <c r="F83" i="16"/>
  <c r="G83" i="16" s="1"/>
  <c r="I83" i="16" s="1"/>
  <c r="C84" i="16" s="1"/>
  <c r="D156" i="16" l="1"/>
  <c r="B156" i="16"/>
  <c r="A157" i="16"/>
  <c r="H84" i="16"/>
  <c r="J84" i="16" s="1"/>
  <c r="E84" i="16"/>
  <c r="D157" i="16" l="1"/>
  <c r="B157" i="16"/>
  <c r="A158" i="16"/>
  <c r="F84" i="16"/>
  <c r="G84" i="16" s="1"/>
  <c r="I84" i="16" s="1"/>
  <c r="C85" i="16" s="1"/>
  <c r="A159" i="16" l="1"/>
  <c r="B158" i="16"/>
  <c r="D158" i="16"/>
  <c r="H85" i="16"/>
  <c r="J85" i="16" s="1"/>
  <c r="E85" i="16"/>
  <c r="B159" i="16" l="1"/>
  <c r="A160" i="16"/>
  <c r="D159" i="16"/>
  <c r="F85" i="16"/>
  <c r="G85" i="16" s="1"/>
  <c r="I85" i="16" s="1"/>
  <c r="C86" i="16" s="1"/>
  <c r="A161" i="16" l="1"/>
  <c r="B160" i="16"/>
  <c r="D160" i="16"/>
  <c r="E86" i="16"/>
  <c r="H86" i="16"/>
  <c r="J86" i="16" s="1"/>
  <c r="B161" i="16" l="1"/>
  <c r="D161" i="16"/>
  <c r="A162" i="16"/>
  <c r="F86" i="16"/>
  <c r="G86" i="16" s="1"/>
  <c r="I86" i="16" s="1"/>
  <c r="C87" i="16" s="1"/>
  <c r="A163" i="16" l="1"/>
  <c r="B162" i="16"/>
  <c r="D162" i="16"/>
  <c r="H87" i="16"/>
  <c r="J87" i="16" s="1"/>
  <c r="E87" i="16"/>
  <c r="B163" i="16" l="1"/>
  <c r="D163" i="16"/>
  <c r="A164" i="16"/>
  <c r="F87" i="16"/>
  <c r="G87" i="16" s="1"/>
  <c r="I87" i="16" s="1"/>
  <c r="C88" i="16" s="1"/>
  <c r="A165" i="16" l="1"/>
  <c r="B164" i="16"/>
  <c r="D164" i="16"/>
  <c r="H88" i="16"/>
  <c r="J88" i="16" s="1"/>
  <c r="E88" i="16"/>
  <c r="A166" i="16" l="1"/>
  <c r="D165" i="16"/>
  <c r="B165" i="16"/>
  <c r="F88" i="16"/>
  <c r="G88" i="16" s="1"/>
  <c r="I88" i="16" s="1"/>
  <c r="C89" i="16" s="1"/>
  <c r="A167" i="16" l="1"/>
  <c r="B166" i="16"/>
  <c r="D166" i="16"/>
  <c r="E89" i="16"/>
  <c r="H89" i="16"/>
  <c r="J89" i="16" s="1"/>
  <c r="D167" i="16" l="1"/>
  <c r="A168" i="16"/>
  <c r="B167" i="16"/>
  <c r="F89" i="16"/>
  <c r="G89" i="16" s="1"/>
  <c r="I89" i="16" s="1"/>
  <c r="C90" i="16" s="1"/>
  <c r="D168" i="16" l="1"/>
  <c r="B168" i="16"/>
  <c r="A169" i="16"/>
  <c r="H90" i="16"/>
  <c r="J90" i="16" s="1"/>
  <c r="E90" i="16"/>
  <c r="A170" i="16" l="1"/>
  <c r="D169" i="16"/>
  <c r="B169" i="16"/>
  <c r="F90" i="16"/>
  <c r="G90" i="16" s="1"/>
  <c r="I90" i="16" s="1"/>
  <c r="C91" i="16" s="1"/>
  <c r="D170" i="16" l="1"/>
  <c r="A171" i="16"/>
  <c r="B170" i="16"/>
  <c r="E91" i="16"/>
  <c r="H91" i="16"/>
  <c r="J91" i="16" s="1"/>
  <c r="B171" i="16" l="1"/>
  <c r="D171" i="16"/>
  <c r="A172" i="16"/>
  <c r="F91" i="16"/>
  <c r="G91" i="16" s="1"/>
  <c r="I91" i="16" s="1"/>
  <c r="C92" i="16" s="1"/>
  <c r="B172" i="16" l="1"/>
  <c r="A173" i="16"/>
  <c r="D172" i="16"/>
  <c r="E92" i="16"/>
  <c r="H92" i="16"/>
  <c r="J92" i="16" s="1"/>
  <c r="D173" i="16" l="1"/>
  <c r="A174" i="16"/>
  <c r="B173" i="16"/>
  <c r="F92" i="16"/>
  <c r="G92" i="16" s="1"/>
  <c r="I92" i="16" s="1"/>
  <c r="C93" i="16" s="1"/>
  <c r="B174" i="16" l="1"/>
  <c r="A175" i="16"/>
  <c r="D174" i="16"/>
  <c r="H93" i="16"/>
  <c r="J93" i="16" s="1"/>
  <c r="E93" i="16"/>
  <c r="B175" i="16" l="1"/>
  <c r="A176" i="16"/>
  <c r="D175" i="16"/>
  <c r="F93" i="16"/>
  <c r="G93" i="16" s="1"/>
  <c r="I93" i="16" s="1"/>
  <c r="C94" i="16" s="1"/>
  <c r="A177" i="16" l="1"/>
  <c r="B176" i="16"/>
  <c r="D176" i="16"/>
  <c r="H94" i="16"/>
  <c r="J94" i="16" s="1"/>
  <c r="E94" i="16"/>
  <c r="B177" i="16" l="1"/>
  <c r="A178" i="16"/>
  <c r="D177" i="16"/>
  <c r="F94" i="16"/>
  <c r="G94" i="16" s="1"/>
  <c r="I94" i="16" s="1"/>
  <c r="C95" i="16" s="1"/>
  <c r="A179" i="16" l="1"/>
  <c r="D178" i="16"/>
  <c r="B178" i="16"/>
  <c r="H95" i="16"/>
  <c r="J95" i="16" s="1"/>
  <c r="E95" i="16"/>
  <c r="B179" i="16" l="1"/>
  <c r="D179" i="16"/>
  <c r="A180" i="16"/>
  <c r="F95" i="16"/>
  <c r="G95" i="16" s="1"/>
  <c r="I95" i="16" s="1"/>
  <c r="C96" i="16" s="1"/>
  <c r="B180" i="16" l="1"/>
  <c r="A181" i="16"/>
  <c r="D180" i="16"/>
  <c r="H96" i="16"/>
  <c r="J96" i="16" s="1"/>
  <c r="E96" i="16"/>
  <c r="B181" i="16" l="1"/>
  <c r="D181" i="16"/>
  <c r="A182" i="16"/>
  <c r="F96" i="16"/>
  <c r="G96" i="16" s="1"/>
  <c r="I96" i="16" s="1"/>
  <c r="C97" i="16" s="1"/>
  <c r="A183" i="16" l="1"/>
  <c r="B182" i="16"/>
  <c r="D182" i="16"/>
  <c r="H97" i="16"/>
  <c r="J97" i="16" s="1"/>
  <c r="E97" i="16"/>
  <c r="A184" i="16" l="1"/>
  <c r="B183" i="16"/>
  <c r="D183" i="16"/>
  <c r="F97" i="16"/>
  <c r="G97" i="16" s="1"/>
  <c r="I97" i="16" s="1"/>
  <c r="C98" i="16" s="1"/>
  <c r="A185" i="16" l="1"/>
  <c r="B184" i="16"/>
  <c r="D184" i="16"/>
  <c r="E98" i="16"/>
  <c r="H98" i="16"/>
  <c r="J98" i="16" s="1"/>
  <c r="D185" i="16" l="1"/>
  <c r="A186" i="16"/>
  <c r="B185" i="16"/>
  <c r="F98" i="16"/>
  <c r="G98" i="16" s="1"/>
  <c r="I98" i="16" s="1"/>
  <c r="C99" i="16" s="1"/>
  <c r="A187" i="16" l="1"/>
  <c r="D186" i="16"/>
  <c r="B186" i="16"/>
  <c r="H99" i="16"/>
  <c r="J99" i="16" s="1"/>
  <c r="E99" i="16"/>
  <c r="B187" i="16" l="1"/>
  <c r="D187" i="16"/>
  <c r="A188" i="16"/>
  <c r="F99" i="16"/>
  <c r="G99" i="16" s="1"/>
  <c r="I99" i="16" s="1"/>
  <c r="C100" i="16" s="1"/>
  <c r="A189" i="16" l="1"/>
  <c r="B188" i="16"/>
  <c r="D188" i="16"/>
  <c r="H100" i="16"/>
  <c r="J100" i="16" s="1"/>
  <c r="E100" i="16"/>
  <c r="D189" i="16" l="1"/>
  <c r="A190" i="16"/>
  <c r="B189" i="16"/>
  <c r="F100" i="16"/>
  <c r="G100" i="16" s="1"/>
  <c r="I100" i="16" s="1"/>
  <c r="C101" i="16" s="1"/>
  <c r="B190" i="16" l="1"/>
  <c r="A191" i="16"/>
  <c r="D190" i="16"/>
  <c r="H101" i="16"/>
  <c r="J101" i="16" s="1"/>
  <c r="E101" i="16"/>
  <c r="A192" i="16" l="1"/>
  <c r="B191" i="16"/>
  <c r="D191" i="16"/>
  <c r="F101" i="16"/>
  <c r="G101" i="16" s="1"/>
  <c r="I101" i="16" s="1"/>
  <c r="C102" i="16" s="1"/>
  <c r="A193" i="16" l="1"/>
  <c r="B192" i="16"/>
  <c r="D192" i="16"/>
  <c r="H102" i="16"/>
  <c r="J102" i="16" s="1"/>
  <c r="E102" i="16"/>
  <c r="B193" i="16" l="1"/>
  <c r="A194" i="16"/>
  <c r="D193" i="16"/>
  <c r="F102" i="16"/>
  <c r="G102" i="16" s="1"/>
  <c r="I102" i="16" s="1"/>
  <c r="C103" i="16" s="1"/>
  <c r="A195" i="16" l="1"/>
  <c r="B194" i="16"/>
  <c r="D194" i="16"/>
  <c r="E103" i="16"/>
  <c r="H103" i="16"/>
  <c r="J103" i="16" s="1"/>
  <c r="A196" i="16" l="1"/>
  <c r="D195" i="16"/>
  <c r="B195" i="16"/>
  <c r="F103" i="16"/>
  <c r="G103" i="16" s="1"/>
  <c r="I103" i="16" s="1"/>
  <c r="C104" i="16" s="1"/>
  <c r="D196" i="16" l="1"/>
  <c r="B196" i="16"/>
  <c r="A197" i="16"/>
  <c r="E104" i="16"/>
  <c r="H104" i="16"/>
  <c r="J104" i="16" s="1"/>
  <c r="D197" i="16" l="1"/>
  <c r="A198" i="16"/>
  <c r="B197" i="16"/>
  <c r="F104" i="16"/>
  <c r="G104" i="16" s="1"/>
  <c r="I104" i="16" s="1"/>
  <c r="C105" i="16" s="1"/>
  <c r="D198" i="16" l="1"/>
  <c r="A199" i="16"/>
  <c r="B198" i="16"/>
  <c r="H105" i="16"/>
  <c r="J105" i="16" s="1"/>
  <c r="E105" i="16"/>
  <c r="D199" i="16" l="1"/>
  <c r="B199" i="16"/>
  <c r="A200" i="16"/>
  <c r="F105" i="16"/>
  <c r="G105" i="16" s="1"/>
  <c r="I105" i="16" s="1"/>
  <c r="C106" i="16" s="1"/>
  <c r="A201" i="16" l="1"/>
  <c r="B200" i="16"/>
  <c r="D200" i="16"/>
  <c r="H106" i="16"/>
  <c r="J106" i="16" s="1"/>
  <c r="E106" i="16"/>
  <c r="D201" i="16" l="1"/>
  <c r="B201" i="16"/>
  <c r="A202" i="16"/>
  <c r="F106" i="16"/>
  <c r="G106" i="16" s="1"/>
  <c r="I106" i="16" s="1"/>
  <c r="C107" i="16" s="1"/>
  <c r="A203" i="16" l="1"/>
  <c r="D202" i="16"/>
  <c r="B202" i="16"/>
  <c r="E107" i="16"/>
  <c r="H107" i="16"/>
  <c r="J107" i="16" s="1"/>
  <c r="B203" i="16" l="1"/>
  <c r="D203" i="16"/>
  <c r="A204" i="16"/>
  <c r="F107" i="16"/>
  <c r="G107" i="16" s="1"/>
  <c r="I107" i="16" s="1"/>
  <c r="C108" i="16" s="1"/>
  <c r="A205" i="16" l="1"/>
  <c r="B204" i="16"/>
  <c r="D204" i="16"/>
  <c r="E108" i="16"/>
  <c r="H108" i="16"/>
  <c r="J108" i="16" s="1"/>
  <c r="D205" i="16" l="1"/>
  <c r="A206" i="16"/>
  <c r="B205" i="16"/>
  <c r="F108" i="16"/>
  <c r="G108" i="16" s="1"/>
  <c r="I108" i="16" s="1"/>
  <c r="C109" i="16" s="1"/>
  <c r="B206" i="16" l="1"/>
  <c r="A207" i="16"/>
  <c r="D206" i="16"/>
  <c r="H109" i="16"/>
  <c r="J109" i="16" s="1"/>
  <c r="E109" i="16"/>
  <c r="B207" i="16" l="1"/>
  <c r="A208" i="16"/>
  <c r="D207" i="16"/>
  <c r="F109" i="16"/>
  <c r="G109" i="16" s="1"/>
  <c r="I109" i="16" s="1"/>
  <c r="C110" i="16" s="1"/>
  <c r="A209" i="16" l="1"/>
  <c r="B208" i="16"/>
  <c r="D208" i="16"/>
  <c r="H110" i="16"/>
  <c r="J110" i="16" s="1"/>
  <c r="E110" i="16"/>
  <c r="B209" i="16" l="1"/>
  <c r="A210" i="16"/>
  <c r="D209" i="16"/>
  <c r="F110" i="16"/>
  <c r="G110" i="16" s="1"/>
  <c r="I110" i="16" s="1"/>
  <c r="C111" i="16" s="1"/>
  <c r="A211" i="16" l="1"/>
  <c r="B210" i="16"/>
  <c r="D210" i="16"/>
  <c r="E111" i="16"/>
  <c r="H111" i="16"/>
  <c r="J111" i="16" s="1"/>
  <c r="B211" i="16" l="1"/>
  <c r="A212" i="16"/>
  <c r="D211" i="16"/>
  <c r="F111" i="16"/>
  <c r="G111" i="16" s="1"/>
  <c r="I111" i="16" s="1"/>
  <c r="C112" i="16" s="1"/>
  <c r="A213" i="16" l="1"/>
  <c r="B212" i="16"/>
  <c r="D212" i="16"/>
  <c r="E112" i="16"/>
  <c r="H112" i="16"/>
  <c r="J112" i="16" s="1"/>
  <c r="D213" i="16" l="1"/>
  <c r="A214" i="16"/>
  <c r="B213" i="16"/>
  <c r="F112" i="16"/>
  <c r="G112" i="16" s="1"/>
  <c r="I112" i="16" s="1"/>
  <c r="C113" i="16" s="1"/>
  <c r="B214" i="16" l="1"/>
  <c r="A215" i="16"/>
  <c r="D214" i="16"/>
  <c r="H113" i="16"/>
  <c r="J113" i="16" s="1"/>
  <c r="E113" i="16"/>
  <c r="D215" i="16" l="1"/>
  <c r="A216" i="16"/>
  <c r="B215" i="16"/>
  <c r="F113" i="16"/>
  <c r="G113" i="16" s="1"/>
  <c r="I113" i="16" s="1"/>
  <c r="C114" i="16" s="1"/>
  <c r="D216" i="16" l="1"/>
  <c r="A217" i="16"/>
  <c r="B216" i="16"/>
  <c r="H114" i="16"/>
  <c r="J114" i="16" s="1"/>
  <c r="E114" i="16"/>
  <c r="D217" i="16" l="1"/>
  <c r="B217" i="16"/>
  <c r="A218" i="16"/>
  <c r="F114" i="16"/>
  <c r="G114" i="16" s="1"/>
  <c r="I114" i="16" s="1"/>
  <c r="C115" i="16" s="1"/>
  <c r="A219" i="16" l="1"/>
  <c r="D218" i="16"/>
  <c r="B218" i="16"/>
  <c r="E115" i="16"/>
  <c r="H115" i="16"/>
  <c r="J115" i="16" s="1"/>
  <c r="A220" i="16" l="1"/>
  <c r="B219" i="16"/>
  <c r="D219" i="16"/>
  <c r="F115" i="16"/>
  <c r="G115" i="16" s="1"/>
  <c r="I115" i="16" s="1"/>
  <c r="C116" i="16" s="1"/>
  <c r="A221" i="16" l="1"/>
  <c r="B220" i="16"/>
  <c r="D220" i="16"/>
  <c r="H116" i="16"/>
  <c r="J116" i="16" s="1"/>
  <c r="E116" i="16"/>
  <c r="B221" i="16" l="1"/>
  <c r="A222" i="16"/>
  <c r="D221" i="16"/>
  <c r="F116" i="16"/>
  <c r="G116" i="16" s="1"/>
  <c r="I116" i="16" s="1"/>
  <c r="C117" i="16" s="1"/>
  <c r="A223" i="16" l="1"/>
  <c r="D222" i="16"/>
  <c r="B222" i="16"/>
  <c r="H117" i="16"/>
  <c r="J117" i="16" s="1"/>
  <c r="E117" i="16"/>
  <c r="B223" i="16" l="1"/>
  <c r="A224" i="16"/>
  <c r="D223" i="16"/>
  <c r="F117" i="16"/>
  <c r="G117" i="16" s="1"/>
  <c r="I117" i="16" s="1"/>
  <c r="C118" i="16" s="1"/>
  <c r="D224" i="16" l="1"/>
  <c r="B224" i="16"/>
  <c r="A225" i="16"/>
  <c r="H118" i="16"/>
  <c r="J118" i="16" s="1"/>
  <c r="E118" i="16"/>
  <c r="D225" i="16" l="1"/>
  <c r="B225" i="16"/>
  <c r="A226" i="16"/>
  <c r="F118" i="16"/>
  <c r="G118" i="16" s="1"/>
  <c r="I118" i="16" s="1"/>
  <c r="C119" i="16" s="1"/>
  <c r="A227" i="16" l="1"/>
  <c r="D226" i="16"/>
  <c r="B226" i="16"/>
  <c r="E119" i="16"/>
  <c r="H119" i="16"/>
  <c r="J119" i="16" s="1"/>
  <c r="B227" i="16" l="1"/>
  <c r="D227" i="16"/>
  <c r="A228" i="16"/>
  <c r="F119" i="16"/>
  <c r="G119" i="16" s="1"/>
  <c r="I119" i="16" s="1"/>
  <c r="C120" i="16" s="1"/>
  <c r="A229" i="16" l="1"/>
  <c r="B228" i="16"/>
  <c r="D228" i="16"/>
  <c r="E120" i="16"/>
  <c r="H120" i="16"/>
  <c r="J120" i="16" s="1"/>
  <c r="D229" i="16" l="1"/>
  <c r="A230" i="16"/>
  <c r="B229" i="16"/>
  <c r="F120" i="16"/>
  <c r="G120" i="16" s="1"/>
  <c r="I120" i="16" s="1"/>
  <c r="C121" i="16" s="1"/>
  <c r="A231" i="16" l="1"/>
  <c r="D230" i="16"/>
  <c r="B230" i="16"/>
  <c r="H121" i="16"/>
  <c r="J121" i="16" s="1"/>
  <c r="E121" i="16"/>
  <c r="D231" i="16" l="1"/>
  <c r="A232" i="16"/>
  <c r="B231" i="16"/>
  <c r="F121" i="16"/>
  <c r="G121" i="16" s="1"/>
  <c r="I121" i="16" s="1"/>
  <c r="C122" i="16" s="1"/>
  <c r="A233" i="16" l="1"/>
  <c r="D232" i="16"/>
  <c r="B232" i="16"/>
  <c r="H122" i="16"/>
  <c r="J122" i="16" s="1"/>
  <c r="E122" i="16"/>
  <c r="B233" i="16" l="1"/>
  <c r="D233" i="16"/>
  <c r="A234" i="16"/>
  <c r="F122" i="16"/>
  <c r="G122" i="16" s="1"/>
  <c r="I122" i="16" s="1"/>
  <c r="C123" i="16" s="1"/>
  <c r="A235" i="16" l="1"/>
  <c r="B234" i="16"/>
  <c r="D234" i="16"/>
  <c r="E123" i="16"/>
  <c r="H123" i="16"/>
  <c r="J123" i="16" s="1"/>
  <c r="A236" i="16" l="1"/>
  <c r="D235" i="16"/>
  <c r="B235" i="16"/>
  <c r="F123" i="16"/>
  <c r="G123" i="16" s="1"/>
  <c r="I123" i="16" s="1"/>
  <c r="C124" i="16" s="1"/>
  <c r="A237" i="16" l="1"/>
  <c r="D236" i="16"/>
  <c r="B236" i="16"/>
  <c r="H124" i="16"/>
  <c r="J124" i="16" s="1"/>
  <c r="E124" i="16"/>
  <c r="B237" i="16" l="1"/>
  <c r="D237" i="16"/>
  <c r="A238" i="16"/>
  <c r="F124" i="16"/>
  <c r="G124" i="16" s="1"/>
  <c r="I124" i="16" s="1"/>
  <c r="C125" i="16" s="1"/>
  <c r="D238" i="16" l="1"/>
  <c r="A239" i="16"/>
  <c r="B238" i="16"/>
  <c r="H125" i="16"/>
  <c r="J125" i="16" s="1"/>
  <c r="E125" i="16"/>
  <c r="D239" i="16" l="1"/>
  <c r="B239" i="16"/>
  <c r="A240" i="16"/>
  <c r="F125" i="16"/>
  <c r="G125" i="16" s="1"/>
  <c r="I125" i="16" s="1"/>
  <c r="C126" i="16" s="1"/>
  <c r="B240" i="16" l="1"/>
  <c r="A241" i="16"/>
  <c r="D240" i="16"/>
  <c r="H126" i="16"/>
  <c r="J126" i="16" s="1"/>
  <c r="E126" i="16"/>
  <c r="B241" i="16" l="1"/>
  <c r="A242" i="16"/>
  <c r="D241" i="16"/>
  <c r="F126" i="16"/>
  <c r="G126" i="16" s="1"/>
  <c r="I126" i="16" s="1"/>
  <c r="C127" i="16" s="1"/>
  <c r="B242" i="16" l="1"/>
  <c r="A243" i="16"/>
  <c r="D242" i="16"/>
  <c r="E127" i="16"/>
  <c r="H127" i="16"/>
  <c r="J127" i="16" s="1"/>
  <c r="B243" i="16" l="1"/>
  <c r="A244" i="16"/>
  <c r="D243" i="16"/>
  <c r="F127" i="16"/>
  <c r="G127" i="16" s="1"/>
  <c r="I127" i="16" s="1"/>
  <c r="C128" i="16" s="1"/>
  <c r="B244" i="16" l="1"/>
  <c r="D244" i="16"/>
  <c r="A245" i="16"/>
  <c r="E128" i="16"/>
  <c r="H128" i="16"/>
  <c r="J128" i="16" s="1"/>
  <c r="B245" i="16" l="1"/>
  <c r="A246" i="16"/>
  <c r="D245" i="16"/>
  <c r="F128" i="16"/>
  <c r="G128" i="16" s="1"/>
  <c r="I128" i="16" s="1"/>
  <c r="C129" i="16" s="1"/>
  <c r="D246" i="16" l="1"/>
  <c r="A247" i="16"/>
  <c r="B246" i="16"/>
  <c r="E129" i="16"/>
  <c r="H129" i="16"/>
  <c r="J129" i="16" s="1"/>
  <c r="D247" i="16" l="1"/>
  <c r="A248" i="16"/>
  <c r="B247" i="16"/>
  <c r="F129" i="16"/>
  <c r="G129" i="16" s="1"/>
  <c r="I129" i="16" s="1"/>
  <c r="C130" i="16" s="1"/>
  <c r="B248" i="16" l="1"/>
  <c r="A249" i="16"/>
  <c r="D248" i="16"/>
  <c r="E130" i="16"/>
  <c r="H130" i="16"/>
  <c r="J130" i="16" s="1"/>
  <c r="B249" i="16" l="1"/>
  <c r="D249" i="16"/>
  <c r="A250" i="16"/>
  <c r="F130" i="16"/>
  <c r="G130" i="16" s="1"/>
  <c r="I130" i="16" s="1"/>
  <c r="C131" i="16" s="1"/>
  <c r="A251" i="16" l="1"/>
  <c r="B250" i="16"/>
  <c r="D250" i="16"/>
  <c r="E131" i="16"/>
  <c r="H131" i="16"/>
  <c r="J131" i="16" s="1"/>
  <c r="B251" i="16" l="1"/>
  <c r="A252" i="16"/>
  <c r="D251" i="16"/>
  <c r="F131" i="16"/>
  <c r="G131" i="16" s="1"/>
  <c r="I131" i="16" s="1"/>
  <c r="C132" i="16" s="1"/>
  <c r="A253" i="16" l="1"/>
  <c r="B252" i="16"/>
  <c r="D252" i="16"/>
  <c r="E132" i="16"/>
  <c r="H132" i="16"/>
  <c r="J132" i="16" s="1"/>
  <c r="B253" i="16" l="1"/>
  <c r="A254" i="16"/>
  <c r="D253" i="16"/>
  <c r="F132" i="16"/>
  <c r="G132" i="16" s="1"/>
  <c r="I132" i="16" s="1"/>
  <c r="C133" i="16" s="1"/>
  <c r="D254" i="16" l="1"/>
  <c r="A255" i="16"/>
  <c r="B254" i="16"/>
  <c r="H133" i="16"/>
  <c r="J133" i="16" s="1"/>
  <c r="E133" i="16"/>
  <c r="A256" i="16" l="1"/>
  <c r="D255" i="16"/>
  <c r="B255" i="16"/>
  <c r="F133" i="16"/>
  <c r="G133" i="16" s="1"/>
  <c r="I133" i="16" s="1"/>
  <c r="C134" i="16" s="1"/>
  <c r="D256" i="16" l="1"/>
  <c r="B256" i="16"/>
  <c r="A257" i="16"/>
  <c r="H134" i="16"/>
  <c r="J134" i="16" s="1"/>
  <c r="E134" i="16"/>
  <c r="D257" i="16" l="1"/>
  <c r="B257" i="16"/>
  <c r="A258" i="16"/>
  <c r="F134" i="16"/>
  <c r="G134" i="16" s="1"/>
  <c r="I134" i="16" s="1"/>
  <c r="C135" i="16" s="1"/>
  <c r="A259" i="16" l="1"/>
  <c r="D258" i="16"/>
  <c r="B258" i="16"/>
  <c r="H135" i="16"/>
  <c r="J135" i="16" s="1"/>
  <c r="E135" i="16"/>
  <c r="A260" i="16" l="1"/>
  <c r="B259" i="16"/>
  <c r="D259" i="16"/>
  <c r="F135" i="16"/>
  <c r="G135" i="16" s="1"/>
  <c r="I135" i="16" s="1"/>
  <c r="C136" i="16" s="1"/>
  <c r="A261" i="16" l="1"/>
  <c r="B260" i="16"/>
  <c r="D260" i="16"/>
  <c r="H136" i="16"/>
  <c r="J136" i="16" s="1"/>
  <c r="E136" i="16"/>
  <c r="D261" i="16" l="1"/>
  <c r="B261" i="16"/>
  <c r="A262" i="16"/>
  <c r="F136" i="16"/>
  <c r="G136" i="16" s="1"/>
  <c r="I136" i="16" s="1"/>
  <c r="C137" i="16" s="1"/>
  <c r="A263" i="16" l="1"/>
  <c r="D262" i="16"/>
  <c r="B262" i="16"/>
  <c r="H137" i="16"/>
  <c r="J137" i="16" s="1"/>
  <c r="E137" i="16"/>
  <c r="D263" i="16" l="1"/>
  <c r="A264" i="16"/>
  <c r="B263" i="16"/>
  <c r="F137" i="16"/>
  <c r="G137" i="16" s="1"/>
  <c r="I137" i="16" s="1"/>
  <c r="C138" i="16" s="1"/>
  <c r="A265" i="16" l="1"/>
  <c r="B264" i="16"/>
  <c r="D264" i="16"/>
  <c r="H138" i="16"/>
  <c r="J138" i="16" s="1"/>
  <c r="E138" i="16"/>
  <c r="A266" i="16" l="1"/>
  <c r="D265" i="16"/>
  <c r="B265" i="16"/>
  <c r="F138" i="16"/>
  <c r="G138" i="16" s="1"/>
  <c r="I138" i="16" s="1"/>
  <c r="C139" i="16" s="1"/>
  <c r="A267" i="16" l="1"/>
  <c r="D266" i="16"/>
  <c r="B266" i="16"/>
  <c r="E139" i="16"/>
  <c r="H139" i="16"/>
  <c r="J139" i="16" s="1"/>
  <c r="A268" i="16" l="1"/>
  <c r="B267" i="16"/>
  <c r="D267" i="16"/>
  <c r="F139" i="16"/>
  <c r="G139" i="16" s="1"/>
  <c r="I139" i="16" s="1"/>
  <c r="C140" i="16" s="1"/>
  <c r="A269" i="16" l="1"/>
  <c r="B268" i="16"/>
  <c r="D268" i="16"/>
  <c r="H140" i="16"/>
  <c r="J140" i="16" s="1"/>
  <c r="E140" i="16"/>
  <c r="A270" i="16" l="1"/>
  <c r="B269" i="16"/>
  <c r="D269" i="16"/>
  <c r="F140" i="16"/>
  <c r="G140" i="16" s="1"/>
  <c r="I140" i="16" s="1"/>
  <c r="C141" i="16" s="1"/>
  <c r="A271" i="16" l="1"/>
  <c r="B270" i="16"/>
  <c r="D270" i="16"/>
  <c r="H141" i="16"/>
  <c r="J141" i="16" s="1"/>
  <c r="E141" i="16"/>
  <c r="A272" i="16" l="1"/>
  <c r="D271" i="16"/>
  <c r="B271" i="16"/>
  <c r="F141" i="16"/>
  <c r="G141" i="16" s="1"/>
  <c r="I141" i="16" s="1"/>
  <c r="C142" i="16" s="1"/>
  <c r="A273" i="16" l="1"/>
  <c r="D272" i="16"/>
  <c r="B272" i="16"/>
  <c r="H142" i="16"/>
  <c r="J142" i="16" s="1"/>
  <c r="E142" i="16"/>
  <c r="D273" i="16" l="1"/>
  <c r="B273" i="16"/>
  <c r="A274" i="16"/>
  <c r="F142" i="16"/>
  <c r="G142" i="16" s="1"/>
  <c r="I142" i="16" s="1"/>
  <c r="C143" i="16" s="1"/>
  <c r="A275" i="16" l="1"/>
  <c r="B274" i="16"/>
  <c r="D274" i="16"/>
  <c r="H143" i="16"/>
  <c r="J143" i="16" s="1"/>
  <c r="E143" i="16"/>
  <c r="D275" i="16" l="1"/>
  <c r="A276" i="16"/>
  <c r="B275" i="16"/>
  <c r="F143" i="16"/>
  <c r="G143" i="16" s="1"/>
  <c r="I143" i="16" s="1"/>
  <c r="C144" i="16" s="1"/>
  <c r="B276" i="16" l="1"/>
  <c r="D276" i="16"/>
  <c r="A277" i="16"/>
  <c r="H144" i="16"/>
  <c r="J144" i="16" s="1"/>
  <c r="E144" i="16"/>
  <c r="B277" i="16" l="1"/>
  <c r="A278" i="16"/>
  <c r="D277" i="16"/>
  <c r="F144" i="16"/>
  <c r="G144" i="16" s="1"/>
  <c r="I144" i="16" s="1"/>
  <c r="C145" i="16" s="1"/>
  <c r="D278" i="16" l="1"/>
  <c r="A279" i="16"/>
  <c r="B278" i="16"/>
  <c r="H145" i="16"/>
  <c r="J145" i="16" s="1"/>
  <c r="E145" i="16"/>
  <c r="D279" i="16" l="1"/>
  <c r="B279" i="16"/>
  <c r="A280" i="16"/>
  <c r="F145" i="16"/>
  <c r="G145" i="16" s="1"/>
  <c r="I145" i="16" s="1"/>
  <c r="C146" i="16" s="1"/>
  <c r="A281" i="16" l="1"/>
  <c r="B280" i="16"/>
  <c r="D280" i="16"/>
  <c r="E146" i="16"/>
  <c r="H146" i="16"/>
  <c r="J146" i="16" s="1"/>
  <c r="B281" i="16" l="1"/>
  <c r="A282" i="16"/>
  <c r="D281" i="16"/>
  <c r="F146" i="16"/>
  <c r="G146" i="16" s="1"/>
  <c r="I146" i="16" s="1"/>
  <c r="C147" i="16" s="1"/>
  <c r="D282" i="16" l="1"/>
  <c r="A283" i="16"/>
  <c r="B282" i="16"/>
  <c r="E147" i="16"/>
  <c r="H147" i="16"/>
  <c r="J147" i="16" s="1"/>
  <c r="B283" i="16" l="1"/>
  <c r="A284" i="16"/>
  <c r="D283" i="16"/>
  <c r="F147" i="16"/>
  <c r="G147" i="16" s="1"/>
  <c r="I147" i="16" s="1"/>
  <c r="C148" i="16" s="1"/>
  <c r="B284" i="16" l="1"/>
  <c r="D284" i="16"/>
  <c r="A285" i="16"/>
  <c r="H148" i="16"/>
  <c r="J148" i="16" s="1"/>
  <c r="E148" i="16"/>
  <c r="B285" i="16" l="1"/>
  <c r="D285" i="16"/>
  <c r="A286" i="16"/>
  <c r="F148" i="16"/>
  <c r="G148" i="16" s="1"/>
  <c r="I148" i="16" s="1"/>
  <c r="C149" i="16" s="1"/>
  <c r="D286" i="16" l="1"/>
  <c r="A287" i="16"/>
  <c r="B286" i="16"/>
  <c r="E149" i="16"/>
  <c r="H149" i="16"/>
  <c r="J149" i="16" s="1"/>
  <c r="D287" i="16" l="1"/>
  <c r="A288" i="16"/>
  <c r="B287" i="16"/>
  <c r="F149" i="16"/>
  <c r="G149" i="16" s="1"/>
  <c r="I149" i="16" s="1"/>
  <c r="C150" i="16" s="1"/>
  <c r="A289" i="16" l="1"/>
  <c r="D288" i="16"/>
  <c r="B288" i="16"/>
  <c r="H150" i="16"/>
  <c r="J150" i="16" s="1"/>
  <c r="E150" i="16"/>
  <c r="B289" i="16" l="1"/>
  <c r="A290" i="16"/>
  <c r="D289" i="16"/>
  <c r="F150" i="16"/>
  <c r="G150" i="16" s="1"/>
  <c r="I150" i="16" s="1"/>
  <c r="C151" i="16" s="1"/>
  <c r="D290" i="16" l="1"/>
  <c r="A291" i="16"/>
  <c r="B290" i="16"/>
  <c r="H151" i="16"/>
  <c r="J151" i="16" s="1"/>
  <c r="E151" i="16"/>
  <c r="D291" i="16" l="1"/>
  <c r="A292" i="16"/>
  <c r="B291" i="16"/>
  <c r="F151" i="16"/>
  <c r="G151" i="16" s="1"/>
  <c r="I151" i="16" s="1"/>
  <c r="C152" i="16" s="1"/>
  <c r="D292" i="16" l="1"/>
  <c r="A293" i="16"/>
  <c r="B292" i="16"/>
  <c r="H152" i="16"/>
  <c r="J152" i="16" s="1"/>
  <c r="E152" i="16"/>
  <c r="D293" i="16" l="1"/>
  <c r="B293" i="16"/>
  <c r="A294" i="16"/>
  <c r="F152" i="16"/>
  <c r="G152" i="16" s="1"/>
  <c r="I152" i="16" s="1"/>
  <c r="C153" i="16" s="1"/>
  <c r="D294" i="16" l="1"/>
  <c r="A295" i="16"/>
  <c r="B294" i="16"/>
  <c r="E153" i="16"/>
  <c r="H153" i="16"/>
  <c r="J153" i="16" s="1"/>
  <c r="B295" i="16" l="1"/>
  <c r="D295" i="16"/>
  <c r="A296" i="16"/>
  <c r="F153" i="16"/>
  <c r="G153" i="16" s="1"/>
  <c r="I153" i="16" s="1"/>
  <c r="C154" i="16" s="1"/>
  <c r="A297" i="16" l="1"/>
  <c r="B296" i="16"/>
  <c r="D296" i="16"/>
  <c r="H154" i="16"/>
  <c r="J154" i="16" s="1"/>
  <c r="E154" i="16"/>
  <c r="D297" i="16" l="1"/>
  <c r="A298" i="16"/>
  <c r="B297" i="16"/>
  <c r="F154" i="16"/>
  <c r="G154" i="16" s="1"/>
  <c r="I154" i="16" s="1"/>
  <c r="C155" i="16" s="1"/>
  <c r="D298" i="16" l="1"/>
  <c r="A299" i="16"/>
  <c r="B298" i="16"/>
  <c r="E155" i="16"/>
  <c r="H155" i="16"/>
  <c r="J155" i="16" s="1"/>
  <c r="D299" i="16" l="1"/>
  <c r="B299" i="16"/>
  <c r="A300" i="16"/>
  <c r="F155" i="16"/>
  <c r="G155" i="16" s="1"/>
  <c r="I155" i="16" s="1"/>
  <c r="C156" i="16" s="1"/>
  <c r="D300" i="16" l="1"/>
  <c r="A301" i="16"/>
  <c r="B300" i="16"/>
  <c r="H156" i="16"/>
  <c r="J156" i="16" s="1"/>
  <c r="E156" i="16"/>
  <c r="D301" i="16" l="1"/>
  <c r="A302" i="16"/>
  <c r="B301" i="16"/>
  <c r="F156" i="16"/>
  <c r="G156" i="16" s="1"/>
  <c r="I156" i="16" s="1"/>
  <c r="C157" i="16" s="1"/>
  <c r="D302" i="16" l="1"/>
  <c r="A303" i="16"/>
  <c r="B302" i="16"/>
  <c r="E157" i="16"/>
  <c r="H157" i="16"/>
  <c r="J157" i="16" s="1"/>
  <c r="B303" i="16" l="1"/>
  <c r="D303" i="16"/>
  <c r="A304" i="16"/>
  <c r="F157" i="16"/>
  <c r="G157" i="16" s="1"/>
  <c r="I157" i="16" s="1"/>
  <c r="C158" i="16" s="1"/>
  <c r="A305" i="16" l="1"/>
  <c r="D304" i="16"/>
  <c r="B304" i="16"/>
  <c r="E158" i="16"/>
  <c r="H158" i="16"/>
  <c r="J158" i="16" s="1"/>
  <c r="B305" i="16" l="1"/>
  <c r="A306" i="16"/>
  <c r="D305" i="16"/>
  <c r="F158" i="16"/>
  <c r="G158" i="16" s="1"/>
  <c r="I158" i="16" s="1"/>
  <c r="C159" i="16" s="1"/>
  <c r="D306" i="16" l="1"/>
  <c r="A307" i="16"/>
  <c r="B306" i="16"/>
  <c r="H159" i="16"/>
  <c r="J159" i="16" s="1"/>
  <c r="E159" i="16"/>
  <c r="D307" i="16" l="1"/>
  <c r="A308" i="16"/>
  <c r="B307" i="16"/>
  <c r="F159" i="16"/>
  <c r="G159" i="16" s="1"/>
  <c r="I159" i="16" s="1"/>
  <c r="C160" i="16" s="1"/>
  <c r="D308" i="16" l="1"/>
  <c r="A309" i="16"/>
  <c r="B308" i="16"/>
  <c r="H160" i="16"/>
  <c r="J160" i="16" s="1"/>
  <c r="E160" i="16"/>
  <c r="B309" i="16" l="1"/>
  <c r="A310" i="16"/>
  <c r="D309" i="16"/>
  <c r="F160" i="16"/>
  <c r="G160" i="16" s="1"/>
  <c r="I160" i="16" s="1"/>
  <c r="C161" i="16" s="1"/>
  <c r="D310" i="16" l="1"/>
  <c r="A311" i="16"/>
  <c r="B310" i="16"/>
  <c r="E161" i="16"/>
  <c r="H161" i="16"/>
  <c r="J161" i="16" s="1"/>
  <c r="A312" i="16" l="1"/>
  <c r="D311" i="16"/>
  <c r="B311" i="16"/>
  <c r="F161" i="16"/>
  <c r="G161" i="16" s="1"/>
  <c r="I161" i="16" s="1"/>
  <c r="C162" i="16" s="1"/>
  <c r="A313" i="16" l="1"/>
  <c r="B312" i="16"/>
  <c r="D312" i="16"/>
  <c r="H162" i="16"/>
  <c r="J162" i="16" s="1"/>
  <c r="E162" i="16"/>
  <c r="B313" i="16" l="1"/>
  <c r="A314" i="16"/>
  <c r="D313" i="16"/>
  <c r="F162" i="16"/>
  <c r="G162" i="16" s="1"/>
  <c r="I162" i="16" s="1"/>
  <c r="C163" i="16" s="1"/>
  <c r="D314" i="16" l="1"/>
  <c r="A315" i="16"/>
  <c r="B314" i="16"/>
  <c r="E163" i="16"/>
  <c r="H163" i="16"/>
  <c r="J163" i="16" s="1"/>
  <c r="D315" i="16" l="1"/>
  <c r="B315" i="16"/>
  <c r="A316" i="16"/>
  <c r="F163" i="16"/>
  <c r="G163" i="16" s="1"/>
  <c r="I163" i="16" s="1"/>
  <c r="C164" i="16" s="1"/>
  <c r="B316" i="16" l="1"/>
  <c r="A317" i="16"/>
  <c r="D316" i="16"/>
  <c r="H164" i="16"/>
  <c r="J164" i="16" s="1"/>
  <c r="E164" i="16"/>
  <c r="A318" i="16" l="1"/>
  <c r="B317" i="16"/>
  <c r="D317" i="16"/>
  <c r="F164" i="16"/>
  <c r="G164" i="16" s="1"/>
  <c r="I164" i="16" s="1"/>
  <c r="C165" i="16" s="1"/>
  <c r="A319" i="16" l="1"/>
  <c r="D318" i="16"/>
  <c r="B318" i="16"/>
  <c r="E165" i="16"/>
  <c r="H165" i="16"/>
  <c r="J165" i="16" s="1"/>
  <c r="A320" i="16" l="1"/>
  <c r="D319" i="16"/>
  <c r="B319" i="16"/>
  <c r="F165" i="16"/>
  <c r="G165" i="16" s="1"/>
  <c r="I165" i="16" s="1"/>
  <c r="C166" i="16" s="1"/>
  <c r="B320" i="16" l="1"/>
  <c r="A321" i="16"/>
  <c r="D320" i="16"/>
  <c r="H166" i="16"/>
  <c r="J166" i="16" s="1"/>
  <c r="E166" i="16"/>
  <c r="B321" i="16" l="1"/>
  <c r="D321" i="16"/>
  <c r="A322" i="16"/>
  <c r="F166" i="16"/>
  <c r="G166" i="16" s="1"/>
  <c r="I166" i="16" s="1"/>
  <c r="C167" i="16" s="1"/>
  <c r="D322" i="16" l="1"/>
  <c r="A323" i="16"/>
  <c r="B322" i="16"/>
  <c r="H167" i="16"/>
  <c r="J167" i="16" s="1"/>
  <c r="E167" i="16"/>
  <c r="B323" i="16" l="1"/>
  <c r="D323" i="16"/>
  <c r="A324" i="16"/>
  <c r="F167" i="16"/>
  <c r="G167" i="16" s="1"/>
  <c r="I167" i="16" s="1"/>
  <c r="C168" i="16" s="1"/>
  <c r="A325" i="16" l="1"/>
  <c r="B324" i="16"/>
  <c r="D324" i="16"/>
  <c r="H168" i="16"/>
  <c r="J168" i="16" s="1"/>
  <c r="E168" i="16"/>
  <c r="A326" i="16" l="1"/>
  <c r="B325" i="16"/>
  <c r="D325" i="16"/>
  <c r="F168" i="16"/>
  <c r="G168" i="16" s="1"/>
  <c r="I168" i="16" s="1"/>
  <c r="C169" i="16" s="1"/>
  <c r="B326" i="16" l="1"/>
  <c r="D326" i="16"/>
  <c r="A327" i="16"/>
  <c r="H169" i="16"/>
  <c r="J169" i="16" s="1"/>
  <c r="E169" i="16"/>
  <c r="B327" i="16" l="1"/>
  <c r="A328" i="16"/>
  <c r="D327" i="16"/>
  <c r="F169" i="16"/>
  <c r="G169" i="16" s="1"/>
  <c r="I169" i="16" s="1"/>
  <c r="C170" i="16" s="1"/>
  <c r="A329" i="16" l="1"/>
  <c r="D328" i="16"/>
  <c r="B328" i="16"/>
  <c r="H170" i="16"/>
  <c r="J170" i="16" s="1"/>
  <c r="E170" i="16"/>
  <c r="B329" i="16" l="1"/>
  <c r="D329" i="16"/>
  <c r="A330" i="16"/>
  <c r="F170" i="16"/>
  <c r="G170" i="16" s="1"/>
  <c r="I170" i="16" s="1"/>
  <c r="C171" i="16" s="1"/>
  <c r="D330" i="16" l="1"/>
  <c r="A331" i="16"/>
  <c r="B330" i="16"/>
  <c r="E171" i="16"/>
  <c r="H171" i="16"/>
  <c r="J171" i="16" s="1"/>
  <c r="B331" i="16" l="1"/>
  <c r="A332" i="16"/>
  <c r="D331" i="16"/>
  <c r="F171" i="16"/>
  <c r="G171" i="16" s="1"/>
  <c r="I171" i="16" s="1"/>
  <c r="C172" i="16" s="1"/>
  <c r="A333" i="16" l="1"/>
  <c r="B332" i="16"/>
  <c r="D332" i="16"/>
  <c r="H172" i="16"/>
  <c r="J172" i="16" s="1"/>
  <c r="E172" i="16"/>
  <c r="B333" i="16" l="1"/>
  <c r="A334" i="16"/>
  <c r="D333" i="16"/>
  <c r="F172" i="16"/>
  <c r="G172" i="16" s="1"/>
  <c r="I172" i="16" s="1"/>
  <c r="C173" i="16" s="1"/>
  <c r="D334" i="16" l="1"/>
  <c r="A335" i="16"/>
  <c r="B334" i="16"/>
  <c r="H173" i="16"/>
  <c r="J173" i="16" s="1"/>
  <c r="E173" i="16"/>
  <c r="A336" i="16" l="1"/>
  <c r="D335" i="16"/>
  <c r="B335" i="16"/>
  <c r="F173" i="16"/>
  <c r="G173" i="16" s="1"/>
  <c r="I173" i="16" s="1"/>
  <c r="C174" i="16" s="1"/>
  <c r="A337" i="16" l="1"/>
  <c r="B336" i="16"/>
  <c r="D336" i="16"/>
  <c r="H174" i="16"/>
  <c r="J174" i="16" s="1"/>
  <c r="E174" i="16"/>
  <c r="A338" i="16" l="1"/>
  <c r="B337" i="16"/>
  <c r="D337" i="16"/>
  <c r="F174" i="16"/>
  <c r="G174" i="16" s="1"/>
  <c r="I174" i="16" s="1"/>
  <c r="C175" i="16" s="1"/>
  <c r="A339" i="16" l="1"/>
  <c r="D338" i="16"/>
  <c r="B338" i="16"/>
  <c r="H175" i="16"/>
  <c r="J175" i="16" s="1"/>
  <c r="E175" i="16"/>
  <c r="B339" i="16" l="1"/>
  <c r="D339" i="16"/>
  <c r="A340" i="16"/>
  <c r="F175" i="16"/>
  <c r="G175" i="16" s="1"/>
  <c r="I175" i="16" s="1"/>
  <c r="C176" i="16" s="1"/>
  <c r="A341" i="16" l="1"/>
  <c r="B340" i="16"/>
  <c r="D340" i="16"/>
  <c r="H176" i="16"/>
  <c r="J176" i="16" s="1"/>
  <c r="E176" i="16"/>
  <c r="D341" i="16" l="1"/>
  <c r="A342" i="16"/>
  <c r="B341" i="16"/>
  <c r="F176" i="16"/>
  <c r="G176" i="16" s="1"/>
  <c r="I176" i="16" s="1"/>
  <c r="C177" i="16" s="1"/>
  <c r="A343" i="16" l="1"/>
  <c r="B342" i="16"/>
  <c r="D342" i="16"/>
  <c r="E177" i="16"/>
  <c r="H177" i="16"/>
  <c r="J177" i="16" s="1"/>
  <c r="D343" i="16" l="1"/>
  <c r="A344" i="16"/>
  <c r="B343" i="16"/>
  <c r="F177" i="16"/>
  <c r="G177" i="16" s="1"/>
  <c r="I177" i="16" s="1"/>
  <c r="C178" i="16" s="1"/>
  <c r="D344" i="16" l="1"/>
  <c r="A345" i="16"/>
  <c r="B344" i="16"/>
  <c r="E178" i="16"/>
  <c r="H178" i="16"/>
  <c r="J178" i="16" s="1"/>
  <c r="D345" i="16" l="1"/>
  <c r="A346" i="16"/>
  <c r="B345" i="16"/>
  <c r="F178" i="16"/>
  <c r="G178" i="16" s="1"/>
  <c r="I178" i="16" s="1"/>
  <c r="C179" i="16" s="1"/>
  <c r="A347" i="16" l="1"/>
  <c r="D346" i="16"/>
  <c r="B346" i="16"/>
  <c r="E179" i="16"/>
  <c r="H179" i="16"/>
  <c r="J179" i="16" s="1"/>
  <c r="B347" i="16" l="1"/>
  <c r="D347" i="16"/>
  <c r="A348" i="16"/>
  <c r="F179" i="16"/>
  <c r="G179" i="16" s="1"/>
  <c r="I179" i="16" s="1"/>
  <c r="C180" i="16" s="1"/>
  <c r="A349" i="16" l="1"/>
  <c r="D348" i="16"/>
  <c r="B348" i="16"/>
  <c r="H180" i="16"/>
  <c r="J180" i="16" s="1"/>
  <c r="E180" i="16"/>
  <c r="B349" i="16" l="1"/>
  <c r="D349" i="16"/>
  <c r="A350" i="16"/>
  <c r="F180" i="16"/>
  <c r="G180" i="16" s="1"/>
  <c r="I180" i="16" s="1"/>
  <c r="C181" i="16" s="1"/>
  <c r="B350" i="16" l="1"/>
  <c r="A351" i="16"/>
  <c r="D350" i="16"/>
  <c r="E181" i="16"/>
  <c r="H181" i="16"/>
  <c r="J181" i="16" s="1"/>
  <c r="A352" i="16" l="1"/>
  <c r="B351" i="16"/>
  <c r="D351" i="16"/>
  <c r="F181" i="16"/>
  <c r="G181" i="16" s="1"/>
  <c r="I181" i="16" s="1"/>
  <c r="C182" i="16" s="1"/>
  <c r="A353" i="16" l="1"/>
  <c r="B352" i="16"/>
  <c r="D352" i="16"/>
  <c r="H182" i="16"/>
  <c r="J182" i="16" s="1"/>
  <c r="E182" i="16"/>
  <c r="B353" i="16" l="1"/>
  <c r="A354" i="16"/>
  <c r="D353" i="16"/>
  <c r="F182" i="16"/>
  <c r="G182" i="16" s="1"/>
  <c r="I182" i="16" s="1"/>
  <c r="C183" i="16" s="1"/>
  <c r="B354" i="16" l="1"/>
  <c r="A355" i="16"/>
  <c r="D354" i="16"/>
  <c r="H183" i="16"/>
  <c r="J183" i="16" s="1"/>
  <c r="E183" i="16"/>
  <c r="A356" i="16" l="1"/>
  <c r="B355" i="16"/>
  <c r="D355" i="16"/>
  <c r="F183" i="16"/>
  <c r="G183" i="16" s="1"/>
  <c r="I183" i="16" s="1"/>
  <c r="C184" i="16" s="1"/>
  <c r="B356" i="16" l="1"/>
  <c r="A357" i="16"/>
  <c r="D356" i="16"/>
  <c r="H184" i="16"/>
  <c r="J184" i="16" s="1"/>
  <c r="E184" i="16"/>
  <c r="A358" i="16" l="1"/>
  <c r="B357" i="16"/>
  <c r="D357" i="16"/>
  <c r="F184" i="16"/>
  <c r="G184" i="16" s="1"/>
  <c r="I184" i="16" s="1"/>
  <c r="C185" i="16" s="1"/>
  <c r="A359" i="16" l="1"/>
  <c r="B358" i="16"/>
  <c r="D358" i="16"/>
  <c r="E185" i="16"/>
  <c r="H185" i="16"/>
  <c r="J185" i="16" s="1"/>
  <c r="B359" i="16" l="1"/>
  <c r="A360" i="16"/>
  <c r="D359" i="16"/>
  <c r="F185" i="16"/>
  <c r="G185" i="16" s="1"/>
  <c r="I185" i="16" s="1"/>
  <c r="C186" i="16" s="1"/>
  <c r="A361" i="16" l="1"/>
  <c r="D360" i="16"/>
  <c r="B360" i="16"/>
  <c r="E186" i="16"/>
  <c r="H186" i="16"/>
  <c r="J186" i="16" s="1"/>
  <c r="B361" i="16" l="1"/>
  <c r="D361" i="16"/>
  <c r="A362" i="16"/>
  <c r="F186" i="16"/>
  <c r="G186" i="16" s="1"/>
  <c r="I186" i="16" s="1"/>
  <c r="C187" i="16" s="1"/>
  <c r="B362" i="16" l="1"/>
  <c r="D362" i="16"/>
  <c r="A363" i="16"/>
  <c r="E187" i="16"/>
  <c r="H187" i="16"/>
  <c r="J187" i="16" s="1"/>
  <c r="A364" i="16" l="1"/>
  <c r="D363" i="16"/>
  <c r="B363" i="16"/>
  <c r="F187" i="16"/>
  <c r="G187" i="16" s="1"/>
  <c r="I187" i="16" s="1"/>
  <c r="C188" i="16" s="1"/>
  <c r="A365" i="16" l="1"/>
  <c r="D364" i="16"/>
  <c r="B364" i="16"/>
  <c r="H188" i="16"/>
  <c r="J188" i="16" s="1"/>
  <c r="E188" i="16"/>
  <c r="B365" i="16" l="1"/>
  <c r="A366" i="16"/>
  <c r="D365" i="16"/>
  <c r="F188" i="16"/>
  <c r="G188" i="16" s="1"/>
  <c r="I188" i="16" s="1"/>
  <c r="C189" i="16" s="1"/>
  <c r="B366" i="16" l="1"/>
  <c r="A367" i="16"/>
  <c r="D366" i="16"/>
  <c r="E189" i="16"/>
  <c r="H189" i="16"/>
  <c r="J189" i="16" s="1"/>
  <c r="D367" i="16" l="1"/>
  <c r="A368" i="16"/>
  <c r="B367" i="16"/>
  <c r="F189" i="16"/>
  <c r="G189" i="16" s="1"/>
  <c r="I189" i="16" s="1"/>
  <c r="C190" i="16" s="1"/>
  <c r="A369" i="16" l="1"/>
  <c r="B368" i="16"/>
  <c r="D368" i="16"/>
  <c r="H190" i="16"/>
  <c r="J190" i="16" s="1"/>
  <c r="E190" i="16"/>
  <c r="B369" i="16" l="1"/>
  <c r="A370" i="16"/>
  <c r="D369" i="16"/>
  <c r="F190" i="16"/>
  <c r="G190" i="16" s="1"/>
  <c r="I190" i="16" s="1"/>
  <c r="C191" i="16" s="1"/>
  <c r="B370" i="16" l="1"/>
  <c r="A371" i="16"/>
  <c r="D370" i="16"/>
  <c r="H191" i="16"/>
  <c r="J191" i="16" s="1"/>
  <c r="E191" i="16"/>
  <c r="D371" i="16" l="1"/>
  <c r="B371" i="16"/>
  <c r="A372" i="16"/>
  <c r="F191" i="16"/>
  <c r="G191" i="16" s="1"/>
  <c r="I191" i="16" s="1"/>
  <c r="C192" i="16" s="1"/>
  <c r="D372" i="16" l="1"/>
  <c r="A373" i="16"/>
  <c r="B372" i="16"/>
  <c r="H192" i="16"/>
  <c r="J192" i="16" s="1"/>
  <c r="E192" i="16"/>
  <c r="D373" i="16" l="1"/>
  <c r="A374" i="16"/>
  <c r="B373" i="16"/>
  <c r="F192" i="16"/>
  <c r="G192" i="16" s="1"/>
  <c r="I192" i="16" s="1"/>
  <c r="C193" i="16" s="1"/>
  <c r="B374" i="16" l="1"/>
  <c r="A375" i="16"/>
  <c r="D374" i="16"/>
  <c r="H193" i="16"/>
  <c r="J193" i="16" s="1"/>
  <c r="E193" i="16"/>
  <c r="D375" i="16" l="1"/>
  <c r="B375" i="16"/>
  <c r="A376" i="16"/>
  <c r="F193" i="16"/>
  <c r="G193" i="16" s="1"/>
  <c r="I193" i="16" s="1"/>
  <c r="C194" i="16" s="1"/>
  <c r="D376" i="16" l="1"/>
  <c r="A377" i="16"/>
  <c r="B376" i="16"/>
  <c r="H194" i="16"/>
  <c r="J194" i="16" s="1"/>
  <c r="E194" i="16"/>
  <c r="D377" i="16" l="1"/>
  <c r="A378" i="16"/>
  <c r="B377" i="16"/>
  <c r="F194" i="16"/>
  <c r="G194" i="16" s="1"/>
  <c r="I194" i="16" s="1"/>
  <c r="C195" i="16" s="1"/>
  <c r="B378" i="16" l="1"/>
  <c r="A379" i="16"/>
  <c r="D378" i="16"/>
  <c r="E195" i="16"/>
  <c r="H195" i="16"/>
  <c r="J195" i="16" s="1"/>
  <c r="A380" i="16" l="1"/>
  <c r="B379" i="16"/>
  <c r="D379" i="16"/>
  <c r="F195" i="16"/>
  <c r="G195" i="16" s="1"/>
  <c r="I195" i="16" s="1"/>
  <c r="C196" i="16" s="1"/>
  <c r="D380" i="16" l="1"/>
  <c r="A381" i="16"/>
  <c r="B380" i="16"/>
  <c r="H196" i="16"/>
  <c r="J196" i="16" s="1"/>
  <c r="E196" i="16"/>
  <c r="D381" i="16" l="1"/>
  <c r="A382" i="16"/>
  <c r="B381" i="16"/>
  <c r="F196" i="16"/>
  <c r="G196" i="16" s="1"/>
  <c r="I196" i="16" s="1"/>
  <c r="C197" i="16" s="1"/>
  <c r="A383" i="16" l="1"/>
  <c r="D382" i="16"/>
  <c r="B382" i="16"/>
  <c r="H197" i="16"/>
  <c r="J197" i="16" s="1"/>
  <c r="E197" i="16"/>
  <c r="A384" i="16" l="1"/>
  <c r="B383" i="16"/>
  <c r="D383" i="16"/>
  <c r="F197" i="16"/>
  <c r="G197" i="16" s="1"/>
  <c r="I197" i="16" s="1"/>
  <c r="C198" i="16" s="1"/>
  <c r="D384" i="16" l="1"/>
  <c r="A385" i="16"/>
  <c r="B384" i="16"/>
  <c r="H198" i="16"/>
  <c r="J198" i="16" s="1"/>
  <c r="E198" i="16"/>
  <c r="B385" i="16" l="1"/>
  <c r="A386" i="16"/>
  <c r="D385" i="16"/>
  <c r="F198" i="16"/>
  <c r="G198" i="16" s="1"/>
  <c r="I198" i="16" s="1"/>
  <c r="C199" i="16" s="1"/>
  <c r="B386" i="16" l="1"/>
  <c r="A387" i="16"/>
  <c r="D386" i="16"/>
  <c r="H199" i="16"/>
  <c r="J199" i="16" s="1"/>
  <c r="E199" i="16"/>
  <c r="B387" i="16" l="1"/>
  <c r="D387" i="16"/>
  <c r="A388" i="16"/>
  <c r="F199" i="16"/>
  <c r="G199" i="16" s="1"/>
  <c r="I199" i="16" s="1"/>
  <c r="C200" i="16" s="1"/>
  <c r="B388" i="16" l="1"/>
  <c r="A389" i="16"/>
  <c r="D388" i="16"/>
  <c r="H200" i="16"/>
  <c r="J200" i="16" s="1"/>
  <c r="E200" i="16"/>
  <c r="B389" i="16" l="1"/>
  <c r="A390" i="16"/>
  <c r="D389" i="16"/>
  <c r="F200" i="16"/>
  <c r="G200" i="16" s="1"/>
  <c r="I200" i="16" s="1"/>
  <c r="C201" i="16" s="1"/>
  <c r="B390" i="16" l="1"/>
  <c r="A391" i="16"/>
  <c r="D390" i="16"/>
  <c r="E201" i="16"/>
  <c r="H201" i="16"/>
  <c r="J201" i="16" s="1"/>
  <c r="D391" i="16" l="1"/>
  <c r="B391" i="16"/>
  <c r="A392" i="16"/>
  <c r="F201" i="16"/>
  <c r="G201" i="16" s="1"/>
  <c r="I201" i="16" s="1"/>
  <c r="C202" i="16" s="1"/>
  <c r="D392" i="16" l="1"/>
  <c r="A393" i="16"/>
  <c r="B392" i="16"/>
  <c r="H202" i="16"/>
  <c r="J202" i="16" s="1"/>
  <c r="E202" i="16"/>
  <c r="D393" i="16" l="1"/>
  <c r="A394" i="16"/>
  <c r="B393" i="16"/>
  <c r="F202" i="16"/>
  <c r="G202" i="16" s="1"/>
  <c r="I202" i="16" s="1"/>
  <c r="C203" i="16" s="1"/>
  <c r="B394" i="16" l="1"/>
  <c r="A395" i="16"/>
  <c r="D394" i="16"/>
  <c r="E203" i="16"/>
  <c r="H203" i="16"/>
  <c r="J203" i="16" s="1"/>
  <c r="A396" i="16" l="1"/>
  <c r="D395" i="16"/>
  <c r="B395" i="16"/>
  <c r="F203" i="16"/>
  <c r="G203" i="16" s="1"/>
  <c r="I203" i="16" s="1"/>
  <c r="C204" i="16" s="1"/>
  <c r="D396" i="16" l="1"/>
  <c r="A397" i="16"/>
  <c r="B396" i="16"/>
  <c r="E204" i="16"/>
  <c r="H204" i="16"/>
  <c r="J204" i="16" s="1"/>
  <c r="A398" i="16" l="1"/>
  <c r="D397" i="16"/>
  <c r="B397" i="16"/>
  <c r="F204" i="16"/>
  <c r="G204" i="16" s="1"/>
  <c r="I204" i="16" s="1"/>
  <c r="C205" i="16" s="1"/>
  <c r="A399" i="16" l="1"/>
  <c r="D398" i="16"/>
  <c r="B398" i="16"/>
  <c r="H205" i="16"/>
  <c r="J205" i="16" s="1"/>
  <c r="E205" i="16"/>
  <c r="B399" i="16" l="1"/>
  <c r="D399" i="16"/>
  <c r="A400" i="16"/>
  <c r="F205" i="16"/>
  <c r="G205" i="16" s="1"/>
  <c r="I205" i="16" s="1"/>
  <c r="C206" i="16" s="1"/>
  <c r="D400" i="16" l="1"/>
  <c r="A401" i="16"/>
  <c r="B400" i="16"/>
  <c r="H206" i="16"/>
  <c r="J206" i="16" s="1"/>
  <c r="E206" i="16"/>
  <c r="D401" i="16" l="1"/>
  <c r="B401" i="16"/>
  <c r="A402" i="16"/>
  <c r="F206" i="16"/>
  <c r="G206" i="16" s="1"/>
  <c r="I206" i="16" s="1"/>
  <c r="C207" i="16" s="1"/>
  <c r="B402" i="16" l="1"/>
  <c r="A403" i="16"/>
  <c r="D402" i="16"/>
  <c r="H207" i="16"/>
  <c r="J207" i="16" s="1"/>
  <c r="E207" i="16"/>
  <c r="B403" i="16" l="1"/>
  <c r="A404" i="16"/>
  <c r="D403" i="16"/>
  <c r="F207" i="16"/>
  <c r="G207" i="16" s="1"/>
  <c r="I207" i="16" s="1"/>
  <c r="C208" i="16" s="1"/>
  <c r="D404" i="16" l="1"/>
  <c r="A405" i="16"/>
  <c r="B404" i="16"/>
  <c r="H208" i="16"/>
  <c r="J208" i="16" s="1"/>
  <c r="E208" i="16"/>
  <c r="D405" i="16" l="1"/>
  <c r="A406" i="16"/>
  <c r="B405" i="16"/>
  <c r="F208" i="16"/>
  <c r="G208" i="16" s="1"/>
  <c r="I208" i="16" s="1"/>
  <c r="C209" i="16" s="1"/>
  <c r="B406" i="16" l="1"/>
  <c r="A407" i="16"/>
  <c r="D406" i="16"/>
  <c r="H209" i="16"/>
  <c r="J209" i="16" s="1"/>
  <c r="E209" i="16"/>
  <c r="D407" i="16" l="1"/>
  <c r="B407" i="16"/>
  <c r="A408" i="16"/>
  <c r="F209" i="16"/>
  <c r="G209" i="16" s="1"/>
  <c r="I209" i="16" s="1"/>
  <c r="C210" i="16" s="1"/>
  <c r="D408" i="16" l="1"/>
  <c r="A409" i="16"/>
  <c r="B408" i="16"/>
  <c r="E210" i="16"/>
  <c r="H210" i="16"/>
  <c r="J210" i="16" s="1"/>
  <c r="B409" i="16" l="1"/>
  <c r="D409" i="16"/>
  <c r="A410" i="16"/>
  <c r="F210" i="16"/>
  <c r="G210" i="16" s="1"/>
  <c r="I210" i="16" s="1"/>
  <c r="C211" i="16" s="1"/>
  <c r="B410" i="16" l="1"/>
  <c r="A411" i="16"/>
  <c r="D410" i="16"/>
  <c r="E211" i="16"/>
  <c r="H211" i="16"/>
  <c r="J211" i="16" s="1"/>
  <c r="A412" i="16" l="1"/>
  <c r="B411" i="16"/>
  <c r="D411" i="16"/>
  <c r="F211" i="16"/>
  <c r="G211" i="16" s="1"/>
  <c r="I211" i="16" s="1"/>
  <c r="C212" i="16" s="1"/>
  <c r="D412" i="16" l="1"/>
  <c r="A413" i="16"/>
  <c r="B412" i="16"/>
  <c r="H212" i="16"/>
  <c r="J212" i="16" s="1"/>
  <c r="E212" i="16"/>
  <c r="D413" i="16" l="1"/>
  <c r="A414" i="16"/>
  <c r="B413" i="16"/>
  <c r="F212" i="16"/>
  <c r="G212" i="16" s="1"/>
  <c r="I212" i="16" s="1"/>
  <c r="C213" i="16" s="1"/>
  <c r="B414" i="16" l="1"/>
  <c r="A415" i="16"/>
  <c r="D414" i="16"/>
  <c r="H213" i="16"/>
  <c r="J213" i="16" s="1"/>
  <c r="E213" i="16"/>
  <c r="A416" i="16" l="1"/>
  <c r="B415" i="16"/>
  <c r="D415" i="16"/>
  <c r="F213" i="16"/>
  <c r="G213" i="16" s="1"/>
  <c r="I213" i="16" s="1"/>
  <c r="C214" i="16" s="1"/>
  <c r="B416" i="16" l="1"/>
  <c r="D416" i="16"/>
  <c r="A417" i="16"/>
  <c r="H214" i="16"/>
  <c r="J214" i="16" s="1"/>
  <c r="E214" i="16"/>
  <c r="A418" i="16" l="1"/>
  <c r="D417" i="16"/>
  <c r="B417" i="16"/>
  <c r="F214" i="16"/>
  <c r="G214" i="16" s="1"/>
  <c r="I214" i="16" s="1"/>
  <c r="C215" i="16" s="1"/>
  <c r="B418" i="16" l="1"/>
  <c r="A419" i="16"/>
  <c r="D418" i="16"/>
  <c r="H215" i="16"/>
  <c r="J215" i="16" s="1"/>
  <c r="E215" i="16"/>
  <c r="B419" i="16" l="1"/>
  <c r="D419" i="16"/>
  <c r="A420" i="16"/>
  <c r="F215" i="16"/>
  <c r="G215" i="16" s="1"/>
  <c r="I215" i="16" s="1"/>
  <c r="C216" i="16" s="1"/>
  <c r="D420" i="16" l="1"/>
  <c r="A421" i="16"/>
  <c r="B420" i="16"/>
  <c r="E216" i="16"/>
  <c r="H216" i="16"/>
  <c r="J216" i="16" s="1"/>
  <c r="D421" i="16" l="1"/>
  <c r="A422" i="16"/>
  <c r="B421" i="16"/>
  <c r="F216" i="16"/>
  <c r="G216" i="16" s="1"/>
  <c r="I216" i="16" s="1"/>
  <c r="C217" i="16" s="1"/>
  <c r="D422" i="16" l="1"/>
  <c r="B422" i="16"/>
  <c r="A423" i="16"/>
  <c r="H217" i="16"/>
  <c r="J217" i="16" s="1"/>
  <c r="E217" i="16"/>
  <c r="D423" i="16" l="1"/>
  <c r="B423" i="16"/>
  <c r="A424" i="16"/>
  <c r="F217" i="16"/>
  <c r="G217" i="16" s="1"/>
  <c r="I217" i="16" s="1"/>
  <c r="C218" i="16" s="1"/>
  <c r="D424" i="16" l="1"/>
  <c r="A425" i="16"/>
  <c r="B424" i="16"/>
  <c r="E218" i="16"/>
  <c r="H218" i="16"/>
  <c r="J218" i="16" s="1"/>
  <c r="D425" i="16" l="1"/>
  <c r="A426" i="16"/>
  <c r="B425" i="16"/>
  <c r="F218" i="16"/>
  <c r="G218" i="16" s="1"/>
  <c r="I218" i="16" s="1"/>
  <c r="C219" i="16" s="1"/>
  <c r="B426" i="16" l="1"/>
  <c r="A427" i="16"/>
  <c r="D426" i="16"/>
  <c r="E219" i="16"/>
  <c r="H219" i="16"/>
  <c r="J219" i="16" s="1"/>
  <c r="A428" i="16" l="1"/>
  <c r="B427" i="16"/>
  <c r="D427" i="16"/>
  <c r="F219" i="16"/>
  <c r="G219" i="16" s="1"/>
  <c r="I219" i="16" s="1"/>
  <c r="C220" i="16" s="1"/>
  <c r="D428" i="16" l="1"/>
  <c r="A429" i="16"/>
  <c r="B428" i="16"/>
  <c r="H220" i="16"/>
  <c r="J220" i="16" s="1"/>
  <c r="E220" i="16"/>
  <c r="A430" i="16" l="1"/>
  <c r="B429" i="16"/>
  <c r="D429" i="16"/>
  <c r="F220" i="16"/>
  <c r="G220" i="16" s="1"/>
  <c r="I220" i="16" s="1"/>
  <c r="C221" i="16" s="1"/>
  <c r="B430" i="16" l="1"/>
  <c r="A431" i="16"/>
  <c r="D430" i="16"/>
  <c r="H221" i="16"/>
  <c r="J221" i="16" s="1"/>
  <c r="E221" i="16"/>
  <c r="A432" i="16" l="1"/>
  <c r="B431" i="16"/>
  <c r="D431" i="16"/>
  <c r="F221" i="16"/>
  <c r="G221" i="16" s="1"/>
  <c r="I221" i="16" s="1"/>
  <c r="C222" i="16" s="1"/>
  <c r="A433" i="16" l="1"/>
  <c r="B432" i="16"/>
  <c r="D432" i="16"/>
  <c r="H222" i="16"/>
  <c r="J222" i="16" s="1"/>
  <c r="E222" i="16"/>
  <c r="A434" i="16" l="1"/>
  <c r="B433" i="16"/>
  <c r="D433" i="16"/>
  <c r="F222" i="16"/>
  <c r="G222" i="16" s="1"/>
  <c r="I222" i="16" s="1"/>
  <c r="C223" i="16" s="1"/>
  <c r="A435" i="16" l="1"/>
  <c r="D434" i="16"/>
  <c r="B434" i="16"/>
  <c r="H223" i="16"/>
  <c r="J223" i="16" s="1"/>
  <c r="E223" i="16"/>
  <c r="A436" i="16" l="1"/>
  <c r="D435" i="16"/>
  <c r="B435" i="16"/>
  <c r="F223" i="16"/>
  <c r="G223" i="16" s="1"/>
  <c r="I223" i="16" s="1"/>
  <c r="C224" i="16" s="1"/>
  <c r="A437" i="16" l="1"/>
  <c r="D436" i="16"/>
  <c r="B436" i="16"/>
  <c r="H224" i="16"/>
  <c r="J224" i="16" s="1"/>
  <c r="E224" i="16"/>
  <c r="B437" i="16" l="1"/>
  <c r="A438" i="16"/>
  <c r="D437" i="16"/>
  <c r="F224" i="16"/>
  <c r="G224" i="16" s="1"/>
  <c r="I224" i="16" s="1"/>
  <c r="C225" i="16" s="1"/>
  <c r="B438" i="16" l="1"/>
  <c r="A439" i="16"/>
  <c r="D438" i="16"/>
  <c r="H225" i="16"/>
  <c r="J225" i="16" s="1"/>
  <c r="E225" i="16"/>
  <c r="A440" i="16" l="1"/>
  <c r="D439" i="16"/>
  <c r="B439" i="16"/>
  <c r="F225" i="16"/>
  <c r="G225" i="16" s="1"/>
  <c r="I225" i="16" s="1"/>
  <c r="C226" i="16" s="1"/>
  <c r="D440" i="16" l="1"/>
  <c r="A441" i="16"/>
  <c r="B440" i="16"/>
  <c r="H226" i="16"/>
  <c r="J226" i="16" s="1"/>
  <c r="E226" i="16"/>
  <c r="B441" i="16" l="1"/>
  <c r="A442" i="16"/>
  <c r="D441" i="16"/>
  <c r="F226" i="16"/>
  <c r="G226" i="16" s="1"/>
  <c r="I226" i="16" s="1"/>
  <c r="C227" i="16" s="1"/>
  <c r="B442" i="16" l="1"/>
  <c r="A443" i="16"/>
  <c r="D442" i="16"/>
  <c r="E227" i="16"/>
  <c r="H227" i="16"/>
  <c r="J227" i="16" s="1"/>
  <c r="A444" i="16" l="1"/>
  <c r="D443" i="16"/>
  <c r="B443" i="16"/>
  <c r="F227" i="16"/>
  <c r="G227" i="16" s="1"/>
  <c r="I227" i="16" s="1"/>
  <c r="C228" i="16" s="1"/>
  <c r="D444" i="16" l="1"/>
  <c r="A445" i="16"/>
  <c r="B444" i="16"/>
  <c r="H228" i="16"/>
  <c r="J228" i="16" s="1"/>
  <c r="E228" i="16"/>
  <c r="D445" i="16" l="1"/>
  <c r="B445" i="16"/>
  <c r="A446" i="16"/>
  <c r="F228" i="16"/>
  <c r="G228" i="16" s="1"/>
  <c r="I228" i="16" s="1"/>
  <c r="C229" i="16" s="1"/>
  <c r="B446" i="16" l="1"/>
  <c r="D446" i="16"/>
  <c r="A447" i="16"/>
  <c r="E229" i="16"/>
  <c r="H229" i="16"/>
  <c r="J229" i="16" s="1"/>
  <c r="A448" i="16" l="1"/>
  <c r="D447" i="16"/>
  <c r="B447" i="16"/>
  <c r="F229" i="16"/>
  <c r="G229" i="16" s="1"/>
  <c r="I229" i="16" s="1"/>
  <c r="C230" i="16" s="1"/>
  <c r="A449" i="16" l="1"/>
  <c r="B448" i="16"/>
  <c r="D448" i="16"/>
  <c r="E230" i="16"/>
  <c r="H230" i="16"/>
  <c r="J230" i="16" s="1"/>
  <c r="D449" i="16" l="1"/>
  <c r="A450" i="16"/>
  <c r="B449" i="16"/>
  <c r="F230" i="16"/>
  <c r="G230" i="16" s="1"/>
  <c r="I230" i="16" s="1"/>
  <c r="C231" i="16" s="1"/>
  <c r="B450" i="16" l="1"/>
  <c r="A451" i="16"/>
  <c r="D450" i="16"/>
  <c r="H231" i="16"/>
  <c r="J231" i="16" s="1"/>
  <c r="E231" i="16"/>
  <c r="D451" i="16" l="1"/>
  <c r="B451" i="16"/>
  <c r="A452" i="16"/>
  <c r="F231" i="16"/>
  <c r="G231" i="16" s="1"/>
  <c r="I231" i="16" s="1"/>
  <c r="C232" i="16" s="1"/>
  <c r="D452" i="16" l="1"/>
  <c r="A453" i="16"/>
  <c r="B452" i="16"/>
  <c r="E232" i="16"/>
  <c r="H232" i="16"/>
  <c r="J232" i="16" s="1"/>
  <c r="B453" i="16" l="1"/>
  <c r="A454" i="16"/>
  <c r="D453" i="16"/>
  <c r="F232" i="16"/>
  <c r="G232" i="16" s="1"/>
  <c r="I232" i="16" s="1"/>
  <c r="C233" i="16" s="1"/>
  <c r="B454" i="16" l="1"/>
  <c r="A455" i="16"/>
  <c r="D454" i="16"/>
  <c r="E233" i="16"/>
  <c r="H233" i="16"/>
  <c r="J233" i="16" s="1"/>
  <c r="B455" i="16" l="1"/>
  <c r="D455" i="16"/>
  <c r="A456" i="16"/>
  <c r="F233" i="16"/>
  <c r="G233" i="16" s="1"/>
  <c r="I233" i="16" s="1"/>
  <c r="C234" i="16" s="1"/>
  <c r="D456" i="16" l="1"/>
  <c r="A457" i="16"/>
  <c r="B456" i="16"/>
  <c r="H234" i="16"/>
  <c r="J234" i="16" s="1"/>
  <c r="E234" i="16"/>
  <c r="B457" i="16" l="1"/>
  <c r="D457" i="16"/>
  <c r="A458" i="16"/>
  <c r="F234" i="16"/>
  <c r="G234" i="16" s="1"/>
  <c r="I234" i="16" s="1"/>
  <c r="C235" i="16" s="1"/>
  <c r="A459" i="16" l="1"/>
  <c r="D458" i="16"/>
  <c r="B458" i="16"/>
  <c r="H235" i="16"/>
  <c r="J235" i="16" s="1"/>
  <c r="E235" i="16"/>
  <c r="D459" i="16" l="1"/>
  <c r="A460" i="16"/>
  <c r="B459" i="16"/>
  <c r="F235" i="16"/>
  <c r="G235" i="16" s="1"/>
  <c r="I235" i="16" s="1"/>
  <c r="C236" i="16" s="1"/>
  <c r="A461" i="16" l="1"/>
  <c r="B460" i="16"/>
  <c r="D460" i="16"/>
  <c r="H236" i="16"/>
  <c r="J236" i="16" s="1"/>
  <c r="E236" i="16"/>
  <c r="B461" i="16" l="1"/>
  <c r="A462" i="16"/>
  <c r="D461" i="16"/>
  <c r="F236" i="16"/>
  <c r="G236" i="16" s="1"/>
  <c r="I236" i="16" s="1"/>
  <c r="C237" i="16" s="1"/>
  <c r="A463" i="16" l="1"/>
  <c r="D462" i="16"/>
  <c r="B462" i="16"/>
  <c r="E237" i="16"/>
  <c r="H237" i="16"/>
  <c r="J237" i="16" s="1"/>
  <c r="B463" i="16" l="1"/>
  <c r="D463" i="16"/>
  <c r="A464" i="16"/>
  <c r="F237" i="16"/>
  <c r="G237" i="16" s="1"/>
  <c r="I237" i="16" s="1"/>
  <c r="C238" i="16" s="1"/>
  <c r="D464" i="16" l="1"/>
  <c r="B464" i="16"/>
  <c r="A465" i="16"/>
  <c r="H238" i="16"/>
  <c r="J238" i="16" s="1"/>
  <c r="E238" i="16"/>
  <c r="A466" i="16" l="1"/>
  <c r="B465" i="16"/>
  <c r="D465" i="16"/>
  <c r="F238" i="16"/>
  <c r="G238" i="16" s="1"/>
  <c r="I238" i="16" s="1"/>
  <c r="C239" i="16" s="1"/>
  <c r="B466" i="16" l="1"/>
  <c r="A467" i="16"/>
  <c r="D466" i="16"/>
  <c r="H239" i="16"/>
  <c r="J239" i="16" s="1"/>
  <c r="E239" i="16"/>
  <c r="D467" i="16" l="1"/>
  <c r="A468" i="16"/>
  <c r="B467" i="16"/>
  <c r="F239" i="16"/>
  <c r="G239" i="16" s="1"/>
  <c r="I239" i="16" s="1"/>
  <c r="C240" i="16" s="1"/>
  <c r="B468" i="16" l="1"/>
  <c r="D468" i="16"/>
  <c r="A469" i="16"/>
  <c r="H240" i="16"/>
  <c r="J240" i="16" s="1"/>
  <c r="E240" i="16"/>
  <c r="A470" i="16" l="1"/>
  <c r="D469" i="16"/>
  <c r="B469" i="16"/>
  <c r="F240" i="16"/>
  <c r="G240" i="16" s="1"/>
  <c r="I240" i="16" s="1"/>
  <c r="C241" i="16" s="1"/>
  <c r="A471" i="16" l="1"/>
  <c r="B470" i="16"/>
  <c r="D470" i="16"/>
  <c r="H241" i="16"/>
  <c r="J241" i="16" s="1"/>
  <c r="E241" i="16"/>
  <c r="B471" i="16" l="1"/>
  <c r="D471" i="16"/>
  <c r="A472" i="16"/>
  <c r="F241" i="16"/>
  <c r="G241" i="16" s="1"/>
  <c r="I241" i="16" s="1"/>
  <c r="C242" i="16" s="1"/>
  <c r="A473" i="16" l="1"/>
  <c r="D472" i="16"/>
  <c r="B472" i="16"/>
  <c r="H242" i="16"/>
  <c r="J242" i="16" s="1"/>
  <c r="E242" i="16"/>
  <c r="D473" i="16" l="1"/>
  <c r="B473" i="16"/>
  <c r="A474" i="16"/>
  <c r="F242" i="16"/>
  <c r="G242" i="16" s="1"/>
  <c r="I242" i="16" s="1"/>
  <c r="C243" i="16" s="1"/>
  <c r="B474" i="16" l="1"/>
  <c r="A475" i="16"/>
  <c r="D474" i="16"/>
  <c r="H243" i="16"/>
  <c r="J243" i="16" s="1"/>
  <c r="E243" i="16"/>
  <c r="A476" i="16" l="1"/>
  <c r="D475" i="16"/>
  <c r="B475" i="16"/>
  <c r="F243" i="16"/>
  <c r="G243" i="16" s="1"/>
  <c r="I243" i="16" s="1"/>
  <c r="C244" i="16" s="1"/>
  <c r="A477" i="16" l="1"/>
  <c r="B476" i="16"/>
  <c r="D476" i="16"/>
  <c r="E244" i="16"/>
  <c r="H244" i="16"/>
  <c r="J244" i="16" s="1"/>
  <c r="D477" i="16" l="1"/>
  <c r="B477" i="16"/>
  <c r="A478" i="16"/>
  <c r="F244" i="16"/>
  <c r="G244" i="16" s="1"/>
  <c r="I244" i="16" s="1"/>
  <c r="C245" i="16" s="1"/>
  <c r="A479" i="16" l="1"/>
  <c r="B478" i="16"/>
  <c r="D478" i="16"/>
  <c r="E245" i="16"/>
  <c r="H245" i="16"/>
  <c r="J245" i="16" s="1"/>
  <c r="A480" i="16" l="1"/>
  <c r="B479" i="16"/>
  <c r="D479" i="16"/>
  <c r="F245" i="16"/>
  <c r="G245" i="16" s="1"/>
  <c r="I245" i="16" s="1"/>
  <c r="C246" i="16" s="1"/>
  <c r="D480" i="16" l="1"/>
  <c r="A481" i="16"/>
  <c r="B480" i="16"/>
  <c r="E246" i="16"/>
  <c r="H246" i="16"/>
  <c r="J246" i="16" s="1"/>
  <c r="B481" i="16" l="1"/>
  <c r="A482" i="16"/>
  <c r="D481" i="16"/>
  <c r="F246" i="16"/>
  <c r="G246" i="16" s="1"/>
  <c r="I246" i="16" s="1"/>
  <c r="C247" i="16" s="1"/>
  <c r="A483" i="16" l="1"/>
  <c r="D482" i="16"/>
  <c r="B482" i="16"/>
  <c r="H247" i="16"/>
  <c r="J247" i="16" s="1"/>
  <c r="E247" i="16"/>
  <c r="D483" i="16" l="1"/>
  <c r="A484" i="16"/>
  <c r="B483" i="16"/>
  <c r="F247" i="16"/>
  <c r="G247" i="16" s="1"/>
  <c r="I247" i="16" s="1"/>
  <c r="C248" i="16" s="1"/>
  <c r="D484" i="16" l="1"/>
  <c r="A485" i="16"/>
  <c r="B484" i="16"/>
  <c r="H248" i="16"/>
  <c r="J248" i="16" s="1"/>
  <c r="E248" i="16"/>
  <c r="A486" i="16" l="1"/>
  <c r="D485" i="16"/>
  <c r="B485" i="16"/>
  <c r="F248" i="16"/>
  <c r="G248" i="16" s="1"/>
  <c r="I248" i="16" s="1"/>
  <c r="C249" i="16" s="1"/>
  <c r="D486" i="16" l="1"/>
  <c r="A487" i="16"/>
  <c r="B486" i="16"/>
  <c r="H249" i="16"/>
  <c r="J249" i="16" s="1"/>
  <c r="E249" i="16"/>
  <c r="D487" i="16" l="1"/>
  <c r="B487" i="16"/>
  <c r="A488" i="16"/>
  <c r="F249" i="16"/>
  <c r="G249" i="16" s="1"/>
  <c r="I249" i="16" s="1"/>
  <c r="C250" i="16" s="1"/>
  <c r="B488" i="16" l="1"/>
  <c r="A489" i="16"/>
  <c r="D488" i="16"/>
  <c r="H250" i="16"/>
  <c r="J250" i="16" s="1"/>
  <c r="E250" i="16"/>
  <c r="A490" i="16" l="1"/>
  <c r="B489" i="16"/>
  <c r="D489" i="16"/>
  <c r="F250" i="16"/>
  <c r="G250" i="16" s="1"/>
  <c r="I250" i="16" s="1"/>
  <c r="C251" i="16" s="1"/>
  <c r="A491" i="16" l="1"/>
  <c r="B490" i="16"/>
  <c r="D490" i="16"/>
  <c r="E251" i="16"/>
  <c r="H251" i="16"/>
  <c r="J251" i="16" s="1"/>
  <c r="A492" i="16" l="1"/>
  <c r="B491" i="16"/>
  <c r="D491" i="16"/>
  <c r="F251" i="16"/>
  <c r="G251" i="16" s="1"/>
  <c r="I251" i="16" s="1"/>
  <c r="C252" i="16" s="1"/>
  <c r="D492" i="16" l="1"/>
  <c r="A493" i="16"/>
  <c r="B492" i="16"/>
  <c r="E252" i="16"/>
  <c r="H252" i="16"/>
  <c r="J252" i="16" s="1"/>
  <c r="B493" i="16" l="1"/>
  <c r="D493" i="16"/>
  <c r="A494" i="16"/>
  <c r="F252" i="16"/>
  <c r="G252" i="16" s="1"/>
  <c r="I252" i="16" s="1"/>
  <c r="C253" i="16" s="1"/>
  <c r="D494" i="16" l="1"/>
  <c r="A495" i="16"/>
  <c r="B494" i="16"/>
  <c r="H253" i="16"/>
  <c r="J253" i="16" s="1"/>
  <c r="E253" i="16"/>
  <c r="D495" i="16" l="1"/>
  <c r="A496" i="16"/>
  <c r="B495" i="16"/>
  <c r="F253" i="16"/>
  <c r="G253" i="16" s="1"/>
  <c r="I253" i="16" s="1"/>
  <c r="C254" i="16" s="1"/>
  <c r="D496" i="16" l="1"/>
  <c r="A497" i="16"/>
  <c r="B496" i="16"/>
  <c r="H254" i="16"/>
  <c r="J254" i="16" s="1"/>
  <c r="E254" i="16"/>
  <c r="D497" i="16" l="1"/>
  <c r="B497" i="16"/>
  <c r="F254" i="16"/>
  <c r="G254" i="16" s="1"/>
  <c r="I254" i="16" s="1"/>
  <c r="C255" i="16" s="1"/>
  <c r="H255" i="16" l="1"/>
  <c r="J255" i="16" s="1"/>
  <c r="E255" i="16"/>
  <c r="F255" i="16" l="1"/>
  <c r="G255" i="16" s="1"/>
  <c r="I255" i="16" s="1"/>
  <c r="C256" i="16" s="1"/>
  <c r="H256" i="16" l="1"/>
  <c r="J256" i="16" s="1"/>
  <c r="E256" i="16"/>
  <c r="F256" i="16" l="1"/>
  <c r="G256" i="16" s="1"/>
  <c r="I256" i="16" s="1"/>
  <c r="C257" i="16" s="1"/>
  <c r="E257" i="16" l="1"/>
  <c r="H257" i="16"/>
  <c r="J257" i="16" s="1"/>
  <c r="I257" i="16" l="1"/>
  <c r="C258" i="16" s="1"/>
  <c r="F257" i="16"/>
  <c r="G257" i="16" s="1"/>
  <c r="H258" i="16" l="1"/>
  <c r="J258" i="16" s="1"/>
  <c r="E258" i="16"/>
  <c r="F258" i="16" l="1"/>
  <c r="G258" i="16" s="1"/>
  <c r="I258" i="16"/>
  <c r="C259" i="16" s="1"/>
  <c r="E259" i="16" l="1"/>
  <c r="H259" i="16"/>
  <c r="J259" i="16" s="1"/>
  <c r="F259" i="16" l="1"/>
  <c r="G259" i="16" s="1"/>
  <c r="I259" i="16"/>
  <c r="C260" i="16" s="1"/>
  <c r="E260" i="16" l="1"/>
  <c r="H260" i="16"/>
  <c r="J260" i="16" s="1"/>
  <c r="I260" i="16" l="1"/>
  <c r="C261" i="16" s="1"/>
  <c r="F260" i="16"/>
  <c r="G260" i="16" s="1"/>
  <c r="E261" i="16" l="1"/>
  <c r="H261" i="16"/>
  <c r="J261" i="16" s="1"/>
  <c r="F261" i="16" l="1"/>
  <c r="G261" i="16" s="1"/>
  <c r="I261" i="16"/>
  <c r="C262" i="16" s="1"/>
  <c r="E262" i="16" l="1"/>
  <c r="H262" i="16"/>
  <c r="J262" i="16" s="1"/>
  <c r="I262" i="16" l="1"/>
  <c r="C263" i="16" s="1"/>
  <c r="F262" i="16"/>
  <c r="G262" i="16" s="1"/>
  <c r="E263" i="16" l="1"/>
  <c r="H263" i="16"/>
  <c r="J263" i="16" s="1"/>
  <c r="F263" i="16" l="1"/>
  <c r="G263" i="16" s="1"/>
  <c r="I263" i="16"/>
  <c r="C264" i="16" s="1"/>
  <c r="H264" i="16" l="1"/>
  <c r="J264" i="16" s="1"/>
  <c r="E264" i="16"/>
  <c r="F264" i="16" l="1"/>
  <c r="G264" i="16" s="1"/>
  <c r="I264" i="16"/>
  <c r="C265" i="16" s="1"/>
  <c r="H265" i="16" l="1"/>
  <c r="J265" i="16" s="1"/>
  <c r="E265" i="16"/>
  <c r="I265" i="16" l="1"/>
  <c r="C266" i="16" s="1"/>
  <c r="F265" i="16"/>
  <c r="G265" i="16" s="1"/>
  <c r="E266" i="16" l="1"/>
  <c r="H266" i="16"/>
  <c r="J266" i="16" s="1"/>
  <c r="F266" i="16" l="1"/>
  <c r="G266" i="16" s="1"/>
  <c r="I266" i="16"/>
  <c r="C267" i="16" s="1"/>
  <c r="H267" i="16" l="1"/>
  <c r="J267" i="16" s="1"/>
  <c r="E267" i="16"/>
  <c r="I267" i="16" l="1"/>
  <c r="C268" i="16" s="1"/>
  <c r="F267" i="16"/>
  <c r="G267" i="16" s="1"/>
  <c r="H268" i="16" l="1"/>
  <c r="J268" i="16" s="1"/>
  <c r="E268" i="16"/>
  <c r="I268" i="16" l="1"/>
  <c r="C269" i="16" s="1"/>
  <c r="F268" i="16"/>
  <c r="G268" i="16" s="1"/>
  <c r="H269" i="16" l="1"/>
  <c r="J269" i="16" s="1"/>
  <c r="E269" i="16"/>
  <c r="F269" i="16" l="1"/>
  <c r="G269" i="16" s="1"/>
  <c r="I269" i="16"/>
  <c r="C270" i="16" s="1"/>
  <c r="H270" i="16" l="1"/>
  <c r="J270" i="16" s="1"/>
  <c r="E270" i="16"/>
  <c r="F270" i="16" l="1"/>
  <c r="G270" i="16" s="1"/>
  <c r="I270" i="16"/>
  <c r="C271" i="16" s="1"/>
  <c r="H271" i="16" l="1"/>
  <c r="J271" i="16" s="1"/>
  <c r="E271" i="16"/>
  <c r="I271" i="16" l="1"/>
  <c r="C272" i="16" s="1"/>
  <c r="F271" i="16"/>
  <c r="G271" i="16" s="1"/>
  <c r="E272" i="16" l="1"/>
  <c r="H272" i="16"/>
  <c r="J272" i="16" s="1"/>
  <c r="F272" i="16" l="1"/>
  <c r="G272" i="16" s="1"/>
  <c r="I272" i="16"/>
  <c r="C273" i="16" s="1"/>
  <c r="E273" i="16" l="1"/>
  <c r="H273" i="16"/>
  <c r="J273" i="16" s="1"/>
  <c r="I273" i="16" l="1"/>
  <c r="C274" i="16" s="1"/>
  <c r="F273" i="16"/>
  <c r="G273" i="16" s="1"/>
  <c r="H274" i="16" l="1"/>
  <c r="J274" i="16" s="1"/>
  <c r="E274" i="16"/>
  <c r="I274" i="16" l="1"/>
  <c r="C275" i="16" s="1"/>
  <c r="F274" i="16"/>
  <c r="G274" i="16" s="1"/>
  <c r="H275" i="16" l="1"/>
  <c r="J275" i="16" s="1"/>
  <c r="E275" i="16"/>
  <c r="I275" i="16" l="1"/>
  <c r="C276" i="16" s="1"/>
  <c r="F275" i="16"/>
  <c r="G275" i="16" s="1"/>
  <c r="E276" i="16" l="1"/>
  <c r="H276" i="16"/>
  <c r="J276" i="16" s="1"/>
  <c r="I276" i="16" l="1"/>
  <c r="C277" i="16" s="1"/>
  <c r="F276" i="16"/>
  <c r="G276" i="16" s="1"/>
  <c r="H277" i="16" l="1"/>
  <c r="J277" i="16" s="1"/>
  <c r="E277" i="16"/>
  <c r="I277" i="16" l="1"/>
  <c r="C278" i="16" s="1"/>
  <c r="F277" i="16"/>
  <c r="G277" i="16" s="1"/>
  <c r="E278" i="16" l="1"/>
  <c r="H278" i="16"/>
  <c r="J278" i="16" s="1"/>
  <c r="I278" i="16" l="1"/>
  <c r="C279" i="16" s="1"/>
  <c r="F278" i="16"/>
  <c r="G278" i="16" s="1"/>
  <c r="E279" i="16" l="1"/>
  <c r="H279" i="16"/>
  <c r="J279" i="16" s="1"/>
  <c r="I279" i="16" l="1"/>
  <c r="C280" i="16" s="1"/>
  <c r="F279" i="16"/>
  <c r="G279" i="16" s="1"/>
  <c r="H280" i="16" l="1"/>
  <c r="J280" i="16" s="1"/>
  <c r="E280" i="16"/>
  <c r="F280" i="16" l="1"/>
  <c r="G280" i="16" s="1"/>
  <c r="I280" i="16"/>
  <c r="C281" i="16" s="1"/>
  <c r="H281" i="16" l="1"/>
  <c r="J281" i="16" s="1"/>
  <c r="E281" i="16"/>
  <c r="I281" i="16" l="1"/>
  <c r="C282" i="16" s="1"/>
  <c r="F281" i="16"/>
  <c r="G281" i="16" s="1"/>
  <c r="E282" i="16" l="1"/>
  <c r="H282" i="16"/>
  <c r="J282" i="16" s="1"/>
  <c r="F282" i="16" l="1"/>
  <c r="G282" i="16" s="1"/>
  <c r="I282" i="16"/>
  <c r="C283" i="16" s="1"/>
  <c r="H283" i="16" l="1"/>
  <c r="J283" i="16" s="1"/>
  <c r="E283" i="16"/>
  <c r="F283" i="16" l="1"/>
  <c r="G283" i="16" s="1"/>
  <c r="I283" i="16"/>
  <c r="C284" i="16" s="1"/>
  <c r="E284" i="16" l="1"/>
  <c r="H284" i="16"/>
  <c r="J284" i="16" s="1"/>
  <c r="F284" i="16" l="1"/>
  <c r="G284" i="16" s="1"/>
  <c r="I284" i="16"/>
  <c r="C285" i="16" s="1"/>
  <c r="H285" i="16" l="1"/>
  <c r="J285" i="16" s="1"/>
  <c r="E285" i="16"/>
  <c r="I285" i="16" l="1"/>
  <c r="C286" i="16" s="1"/>
  <c r="F285" i="16"/>
  <c r="G285" i="16" s="1"/>
  <c r="E286" i="16" l="1"/>
  <c r="H286" i="16"/>
  <c r="J286" i="16" s="1"/>
  <c r="F286" i="16" l="1"/>
  <c r="G286" i="16" s="1"/>
  <c r="I286" i="16"/>
  <c r="C287" i="16" s="1"/>
  <c r="H287" i="16" l="1"/>
  <c r="J287" i="16" s="1"/>
  <c r="E287" i="16"/>
  <c r="I287" i="16" l="1"/>
  <c r="C288" i="16" s="1"/>
  <c r="F287" i="16"/>
  <c r="G287" i="16" s="1"/>
  <c r="H288" i="16" l="1"/>
  <c r="J288" i="16" s="1"/>
  <c r="E288" i="16"/>
  <c r="F288" i="16" l="1"/>
  <c r="G288" i="16" s="1"/>
  <c r="I288" i="16"/>
  <c r="C289" i="16" s="1"/>
  <c r="H289" i="16" l="1"/>
  <c r="J289" i="16" s="1"/>
  <c r="E289" i="16"/>
  <c r="F289" i="16" l="1"/>
  <c r="G289" i="16" s="1"/>
  <c r="I289" i="16"/>
  <c r="C290" i="16" s="1"/>
  <c r="E290" i="16" l="1"/>
  <c r="H290" i="16"/>
  <c r="J290" i="16" s="1"/>
  <c r="F290" i="16" l="1"/>
  <c r="G290" i="16" s="1"/>
  <c r="I290" i="16"/>
  <c r="C291" i="16" s="1"/>
  <c r="H291" i="16" l="1"/>
  <c r="J291" i="16" s="1"/>
  <c r="E291" i="16"/>
  <c r="I291" i="16" l="1"/>
  <c r="C292" i="16" s="1"/>
  <c r="F291" i="16"/>
  <c r="G291" i="16" s="1"/>
  <c r="E292" i="16" l="1"/>
  <c r="H292" i="16"/>
  <c r="J292" i="16" s="1"/>
  <c r="F292" i="16" l="1"/>
  <c r="G292" i="16" s="1"/>
  <c r="I292" i="16"/>
  <c r="C293" i="16" s="1"/>
  <c r="H293" i="16" l="1"/>
  <c r="J293" i="16" s="1"/>
  <c r="E293" i="16"/>
  <c r="I293" i="16" l="1"/>
  <c r="C294" i="16" s="1"/>
  <c r="F293" i="16"/>
  <c r="G293" i="16" s="1"/>
  <c r="E294" i="16" l="1"/>
  <c r="H294" i="16"/>
  <c r="J294" i="16" s="1"/>
  <c r="I294" i="16" l="1"/>
  <c r="C295" i="16" s="1"/>
  <c r="F294" i="16"/>
  <c r="G294" i="16" s="1"/>
  <c r="H295" i="16" l="1"/>
  <c r="J295" i="16" s="1"/>
  <c r="E295" i="16"/>
  <c r="I295" i="16" l="1"/>
  <c r="C296" i="16" s="1"/>
  <c r="F295" i="16"/>
  <c r="G295" i="16" s="1"/>
  <c r="H296" i="16" l="1"/>
  <c r="J296" i="16" s="1"/>
  <c r="E296" i="16"/>
  <c r="F296" i="16" l="1"/>
  <c r="G296" i="16" s="1"/>
  <c r="I296" i="16"/>
  <c r="C297" i="16" s="1"/>
  <c r="H297" i="16" l="1"/>
  <c r="J297" i="16" s="1"/>
  <c r="E297" i="16"/>
  <c r="F297" i="16" l="1"/>
  <c r="G297" i="16" s="1"/>
  <c r="I297" i="16"/>
  <c r="C298" i="16" s="1"/>
  <c r="E298" i="16" l="1"/>
  <c r="H298" i="16"/>
  <c r="J298" i="16" s="1"/>
  <c r="F298" i="16" l="1"/>
  <c r="G298" i="16" s="1"/>
  <c r="I298" i="16"/>
  <c r="C299" i="16" s="1"/>
  <c r="H299" i="16" l="1"/>
  <c r="J299" i="16" s="1"/>
  <c r="E299" i="16"/>
  <c r="I299" i="16" l="1"/>
  <c r="C300" i="16" s="1"/>
  <c r="F299" i="16"/>
  <c r="G299" i="16" s="1"/>
  <c r="E300" i="16" l="1"/>
  <c r="H300" i="16"/>
  <c r="J300" i="16" s="1"/>
  <c r="F300" i="16" l="1"/>
  <c r="G300" i="16" s="1"/>
  <c r="I300" i="16"/>
  <c r="C301" i="16" s="1"/>
  <c r="H301" i="16" l="1"/>
  <c r="J301" i="16" s="1"/>
  <c r="E301" i="16"/>
  <c r="I301" i="16" l="1"/>
  <c r="C302" i="16" s="1"/>
  <c r="F301" i="16"/>
  <c r="G301" i="16" s="1"/>
  <c r="E302" i="16" l="1"/>
  <c r="H302" i="16"/>
  <c r="J302" i="16" s="1"/>
  <c r="F302" i="16" l="1"/>
  <c r="G302" i="16" s="1"/>
  <c r="I302" i="16"/>
  <c r="C303" i="16" s="1"/>
  <c r="H303" i="16" l="1"/>
  <c r="J303" i="16" s="1"/>
  <c r="E303" i="16"/>
  <c r="I303" i="16" l="1"/>
  <c r="C304" i="16" s="1"/>
  <c r="F303" i="16"/>
  <c r="G303" i="16" s="1"/>
  <c r="E304" i="16" l="1"/>
  <c r="H304" i="16"/>
  <c r="J304" i="16" s="1"/>
  <c r="F304" i="16" l="1"/>
  <c r="G304" i="16" s="1"/>
  <c r="I304" i="16"/>
  <c r="C305" i="16" s="1"/>
  <c r="H305" i="16" l="1"/>
  <c r="J305" i="16" s="1"/>
  <c r="E305" i="16"/>
  <c r="I305" i="16" l="1"/>
  <c r="C306" i="16" s="1"/>
  <c r="F305" i="16"/>
  <c r="G305" i="16" s="1"/>
  <c r="E306" i="16" l="1"/>
  <c r="H306" i="16"/>
  <c r="J306" i="16" s="1"/>
  <c r="F306" i="16" l="1"/>
  <c r="G306" i="16" s="1"/>
  <c r="I306" i="16"/>
  <c r="C307" i="16" s="1"/>
  <c r="H307" i="16" l="1"/>
  <c r="J307" i="16" s="1"/>
  <c r="E307" i="16"/>
  <c r="I307" i="16" l="1"/>
  <c r="C308" i="16" s="1"/>
  <c r="F307" i="16"/>
  <c r="G307" i="16" s="1"/>
  <c r="E308" i="16" l="1"/>
  <c r="H308" i="16"/>
  <c r="J308" i="16" s="1"/>
  <c r="F308" i="16" l="1"/>
  <c r="G308" i="16" s="1"/>
  <c r="I308" i="16"/>
  <c r="C309" i="16" s="1"/>
  <c r="E309" i="16" l="1"/>
  <c r="H309" i="16"/>
  <c r="J309" i="16" s="1"/>
  <c r="F309" i="16" l="1"/>
  <c r="G309" i="16" s="1"/>
  <c r="I309" i="16"/>
  <c r="C310" i="16" s="1"/>
  <c r="E310" i="16" l="1"/>
  <c r="H310" i="16"/>
  <c r="J310" i="16" s="1"/>
  <c r="I310" i="16" l="1"/>
  <c r="C311" i="16" s="1"/>
  <c r="F310" i="16"/>
  <c r="G310" i="16" s="1"/>
  <c r="H311" i="16" l="1"/>
  <c r="J311" i="16" s="1"/>
  <c r="E311" i="16"/>
  <c r="I311" i="16" l="1"/>
  <c r="C312" i="16" s="1"/>
  <c r="F311" i="16"/>
  <c r="G311" i="16" s="1"/>
  <c r="H312" i="16" l="1"/>
  <c r="J312" i="16" s="1"/>
  <c r="E312" i="16"/>
  <c r="F312" i="16" l="1"/>
  <c r="G312" i="16" s="1"/>
  <c r="I312" i="16"/>
  <c r="C313" i="16" s="1"/>
  <c r="H313" i="16" l="1"/>
  <c r="J313" i="16" s="1"/>
  <c r="E313" i="16"/>
  <c r="I313" i="16" l="1"/>
  <c r="C314" i="16" s="1"/>
  <c r="F313" i="16"/>
  <c r="G313" i="16" s="1"/>
  <c r="E314" i="16" l="1"/>
  <c r="H314" i="16"/>
  <c r="J314" i="16" s="1"/>
  <c r="F314" i="16" l="1"/>
  <c r="G314" i="16" s="1"/>
  <c r="I314" i="16"/>
  <c r="C315" i="16" s="1"/>
  <c r="E315" i="16" l="1"/>
  <c r="H315" i="16"/>
  <c r="J315" i="16" s="1"/>
  <c r="I315" i="16" l="1"/>
  <c r="C316" i="16" s="1"/>
  <c r="F315" i="16"/>
  <c r="G315" i="16" s="1"/>
  <c r="H316" i="16" l="1"/>
  <c r="J316" i="16" s="1"/>
  <c r="E316" i="16"/>
  <c r="I316" i="16" l="1"/>
  <c r="C317" i="16" s="1"/>
  <c r="F316" i="16"/>
  <c r="G316" i="16" s="1"/>
  <c r="E317" i="16" l="1"/>
  <c r="H317" i="16"/>
  <c r="J317" i="16" s="1"/>
  <c r="I317" i="16" l="1"/>
  <c r="C318" i="16" s="1"/>
  <c r="F317" i="16"/>
  <c r="G317" i="16" s="1"/>
  <c r="E318" i="16" l="1"/>
  <c r="H318" i="16"/>
  <c r="J318" i="16" s="1"/>
  <c r="F318" i="16" l="1"/>
  <c r="G318" i="16" s="1"/>
  <c r="I318" i="16"/>
  <c r="C319" i="16" s="1"/>
  <c r="H319" i="16" l="1"/>
  <c r="J319" i="16" s="1"/>
  <c r="E319" i="16"/>
  <c r="I319" i="16" l="1"/>
  <c r="C320" i="16" s="1"/>
  <c r="F319" i="16"/>
  <c r="G319" i="16" s="1"/>
  <c r="H320" i="16" l="1"/>
  <c r="J320" i="16" s="1"/>
  <c r="E320" i="16"/>
  <c r="F320" i="16" l="1"/>
  <c r="G320" i="16" s="1"/>
  <c r="I320" i="16"/>
  <c r="C321" i="16" s="1"/>
  <c r="E321" i="16" l="1"/>
  <c r="H321" i="16"/>
  <c r="J321" i="16" s="1"/>
  <c r="F321" i="16" l="1"/>
  <c r="G321" i="16" s="1"/>
  <c r="I321" i="16"/>
  <c r="C322" i="16" s="1"/>
  <c r="E322" i="16" l="1"/>
  <c r="H322" i="16"/>
  <c r="J322" i="16" s="1"/>
  <c r="F322" i="16" l="1"/>
  <c r="G322" i="16" s="1"/>
  <c r="I322" i="16"/>
  <c r="C323" i="16" s="1"/>
  <c r="H323" i="16" l="1"/>
  <c r="J323" i="16" s="1"/>
  <c r="E323" i="16"/>
  <c r="I323" i="16" l="1"/>
  <c r="C324" i="16" s="1"/>
  <c r="F323" i="16"/>
  <c r="G323" i="16" s="1"/>
  <c r="E324" i="16" l="1"/>
  <c r="H324" i="16"/>
  <c r="J324" i="16" s="1"/>
  <c r="I324" i="16" l="1"/>
  <c r="C325" i="16" s="1"/>
  <c r="F324" i="16"/>
  <c r="G324" i="16" s="1"/>
  <c r="H325" i="16" l="1"/>
  <c r="J325" i="16" s="1"/>
  <c r="E325" i="16"/>
  <c r="I325" i="16" l="1"/>
  <c r="C326" i="16" s="1"/>
  <c r="F325" i="16"/>
  <c r="G325" i="16" s="1"/>
  <c r="E326" i="16" l="1"/>
  <c r="H326" i="16"/>
  <c r="J326" i="16" s="1"/>
  <c r="I326" i="16" l="1"/>
  <c r="C327" i="16" s="1"/>
  <c r="F326" i="16"/>
  <c r="G326" i="16" s="1"/>
  <c r="H327" i="16" l="1"/>
  <c r="J327" i="16" s="1"/>
  <c r="E327" i="16"/>
  <c r="F327" i="16" l="1"/>
  <c r="G327" i="16" s="1"/>
  <c r="I327" i="16"/>
  <c r="C328" i="16" s="1"/>
  <c r="H328" i="16" l="1"/>
  <c r="J328" i="16" s="1"/>
  <c r="E328" i="16"/>
  <c r="F328" i="16" l="1"/>
  <c r="G328" i="16" s="1"/>
  <c r="I328" i="16"/>
  <c r="C329" i="16" s="1"/>
  <c r="E329" i="16" l="1"/>
  <c r="H329" i="16"/>
  <c r="J329" i="16" s="1"/>
  <c r="I329" i="16" l="1"/>
  <c r="C330" i="16" s="1"/>
  <c r="F329" i="16"/>
  <c r="G329" i="16" s="1"/>
  <c r="E330" i="16" l="1"/>
  <c r="H330" i="16"/>
  <c r="J330" i="16" s="1"/>
  <c r="F330" i="16" l="1"/>
  <c r="G330" i="16" s="1"/>
  <c r="I330" i="16"/>
  <c r="C331" i="16" s="1"/>
  <c r="H331" i="16" l="1"/>
  <c r="J331" i="16" s="1"/>
  <c r="E331" i="16"/>
  <c r="I331" i="16" l="1"/>
  <c r="C332" i="16" s="1"/>
  <c r="F331" i="16"/>
  <c r="G331" i="16" s="1"/>
  <c r="E332" i="16" l="1"/>
  <c r="H332" i="16"/>
  <c r="J332" i="16" s="1"/>
  <c r="F332" i="16" l="1"/>
  <c r="G332" i="16" s="1"/>
  <c r="I332" i="16"/>
  <c r="C333" i="16" s="1"/>
  <c r="H333" i="16" l="1"/>
  <c r="J333" i="16" s="1"/>
  <c r="E333" i="16"/>
  <c r="F333" i="16" l="1"/>
  <c r="G333" i="16" s="1"/>
  <c r="I333" i="16"/>
  <c r="C334" i="16" s="1"/>
  <c r="E334" i="16" l="1"/>
  <c r="H334" i="16"/>
  <c r="J334" i="16" s="1"/>
  <c r="F334" i="16" l="1"/>
  <c r="G334" i="16" s="1"/>
  <c r="I334" i="16"/>
  <c r="C335" i="16" s="1"/>
  <c r="H335" i="16" l="1"/>
  <c r="J335" i="16" s="1"/>
  <c r="E335" i="16"/>
  <c r="I335" i="16" l="1"/>
  <c r="C336" i="16" s="1"/>
  <c r="F335" i="16"/>
  <c r="G335" i="16" s="1"/>
  <c r="H336" i="16" l="1"/>
  <c r="J336" i="16" s="1"/>
  <c r="E336" i="16"/>
  <c r="F336" i="16" l="1"/>
  <c r="G336" i="16" s="1"/>
  <c r="I336" i="16"/>
  <c r="C337" i="16" s="1"/>
  <c r="H337" i="16" l="1"/>
  <c r="J337" i="16" s="1"/>
  <c r="E337" i="16"/>
  <c r="I337" i="16" l="1"/>
  <c r="C338" i="16" s="1"/>
  <c r="F337" i="16"/>
  <c r="G337" i="16" s="1"/>
  <c r="H338" i="16" l="1"/>
  <c r="J338" i="16" s="1"/>
  <c r="E338" i="16"/>
  <c r="F338" i="16" l="1"/>
  <c r="G338" i="16" s="1"/>
  <c r="I338" i="16"/>
  <c r="C339" i="16" s="1"/>
  <c r="E339" i="16" l="1"/>
  <c r="H339" i="16"/>
  <c r="J339" i="16" s="1"/>
  <c r="I339" i="16" l="1"/>
  <c r="C340" i="16" s="1"/>
  <c r="F339" i="16"/>
  <c r="G339" i="16" s="1"/>
  <c r="H340" i="16" l="1"/>
  <c r="J340" i="16" s="1"/>
  <c r="E340" i="16"/>
  <c r="F340" i="16" l="1"/>
  <c r="G340" i="16" s="1"/>
  <c r="I340" i="16"/>
  <c r="C341" i="16" s="1"/>
  <c r="E341" i="16" l="1"/>
  <c r="H341" i="16"/>
  <c r="J341" i="16" s="1"/>
  <c r="F341" i="16" l="1"/>
  <c r="G341" i="16" s="1"/>
  <c r="I341" i="16"/>
  <c r="C342" i="16" s="1"/>
  <c r="H342" i="16" l="1"/>
  <c r="J342" i="16" s="1"/>
  <c r="E342" i="16"/>
  <c r="I342" i="16" l="1"/>
  <c r="C343" i="16" s="1"/>
  <c r="F342" i="16"/>
  <c r="G342" i="16" s="1"/>
  <c r="E343" i="16" l="1"/>
  <c r="H343" i="16"/>
  <c r="J343" i="16" s="1"/>
  <c r="I343" i="16" l="1"/>
  <c r="C344" i="16" s="1"/>
  <c r="F343" i="16"/>
  <c r="G343" i="16" s="1"/>
  <c r="E344" i="16" l="1"/>
  <c r="H344" i="16"/>
  <c r="J344" i="16" s="1"/>
  <c r="F344" i="16" l="1"/>
  <c r="G344" i="16" s="1"/>
  <c r="I344" i="16"/>
  <c r="C345" i="16" s="1"/>
  <c r="H345" i="16" l="1"/>
  <c r="J345" i="16" s="1"/>
  <c r="E345" i="16"/>
  <c r="F345" i="16" l="1"/>
  <c r="G345" i="16" s="1"/>
  <c r="I345" i="16"/>
  <c r="C346" i="16" s="1"/>
  <c r="H346" i="16" l="1"/>
  <c r="J346" i="16" s="1"/>
  <c r="E346" i="16"/>
  <c r="F346" i="16" l="1"/>
  <c r="G346" i="16" s="1"/>
  <c r="I346" i="16"/>
  <c r="C347" i="16" s="1"/>
  <c r="E347" i="16" l="1"/>
  <c r="H347" i="16"/>
  <c r="J347" i="16" s="1"/>
  <c r="I347" i="16" l="1"/>
  <c r="C348" i="16" s="1"/>
  <c r="F347" i="16"/>
  <c r="G347" i="16" s="1"/>
  <c r="E348" i="16" l="1"/>
  <c r="H348" i="16"/>
  <c r="J348" i="16" s="1"/>
  <c r="I348" i="16" l="1"/>
  <c r="C349" i="16" s="1"/>
  <c r="F348" i="16"/>
  <c r="G348" i="16" s="1"/>
  <c r="H349" i="16" l="1"/>
  <c r="J349" i="16" s="1"/>
  <c r="E349" i="16"/>
  <c r="I349" i="16" l="1"/>
  <c r="C350" i="16" s="1"/>
  <c r="F349" i="16"/>
  <c r="G349" i="16" s="1"/>
  <c r="E350" i="16" l="1"/>
  <c r="H350" i="16"/>
  <c r="J350" i="16" s="1"/>
  <c r="F350" i="16" l="1"/>
  <c r="G350" i="16" s="1"/>
  <c r="I350" i="16"/>
  <c r="C351" i="16" s="1"/>
  <c r="H351" i="16" l="1"/>
  <c r="J351" i="16" s="1"/>
  <c r="E351" i="16"/>
  <c r="F351" i="16" l="1"/>
  <c r="G351" i="16" s="1"/>
  <c r="I351" i="16"/>
  <c r="C352" i="16" s="1"/>
  <c r="H352" i="16" l="1"/>
  <c r="J352" i="16" s="1"/>
  <c r="E352" i="16"/>
  <c r="F352" i="16" l="1"/>
  <c r="G352" i="16" s="1"/>
  <c r="I352" i="16"/>
  <c r="C353" i="16" s="1"/>
  <c r="H353" i="16" l="1"/>
  <c r="J353" i="16" s="1"/>
  <c r="E353" i="16"/>
  <c r="F353" i="16" l="1"/>
  <c r="G353" i="16" s="1"/>
  <c r="I353" i="16"/>
  <c r="C354" i="16" s="1"/>
  <c r="E354" i="16" l="1"/>
  <c r="H354" i="16"/>
  <c r="J354" i="16" s="1"/>
  <c r="F354" i="16" l="1"/>
  <c r="G354" i="16" s="1"/>
  <c r="I354" i="16"/>
  <c r="C355" i="16" s="1"/>
  <c r="H355" i="16" l="1"/>
  <c r="J355" i="16" s="1"/>
  <c r="E355" i="16"/>
  <c r="I355" i="16" l="1"/>
  <c r="C356" i="16" s="1"/>
  <c r="F355" i="16"/>
  <c r="G355" i="16" s="1"/>
  <c r="H356" i="16" l="1"/>
  <c r="J356" i="16" s="1"/>
  <c r="E356" i="16"/>
  <c r="I356" i="16" l="1"/>
  <c r="C357" i="16" s="1"/>
  <c r="F356" i="16"/>
  <c r="G356" i="16" s="1"/>
  <c r="E357" i="16" l="1"/>
  <c r="H357" i="16"/>
  <c r="J357" i="16" s="1"/>
  <c r="F357" i="16" l="1"/>
  <c r="G357" i="16" s="1"/>
  <c r="I357" i="16"/>
  <c r="C358" i="16" s="1"/>
  <c r="E358" i="16" l="1"/>
  <c r="H358" i="16"/>
  <c r="J358" i="16" s="1"/>
  <c r="I358" i="16" l="1"/>
  <c r="C359" i="16" s="1"/>
  <c r="F358" i="16"/>
  <c r="G358" i="16" s="1"/>
  <c r="H359" i="16" l="1"/>
  <c r="J359" i="16" s="1"/>
  <c r="E359" i="16"/>
  <c r="I359" i="16" l="1"/>
  <c r="C360" i="16" s="1"/>
  <c r="F359" i="16"/>
  <c r="G359" i="16" s="1"/>
  <c r="E360" i="16" l="1"/>
  <c r="H360" i="16"/>
  <c r="J360" i="16" s="1"/>
  <c r="F360" i="16" l="1"/>
  <c r="G360" i="16" s="1"/>
  <c r="I360" i="16"/>
  <c r="C361" i="16" s="1"/>
  <c r="E361" i="16" l="1"/>
  <c r="H361" i="16"/>
  <c r="J361" i="16" s="1"/>
  <c r="I361" i="16" l="1"/>
  <c r="C362" i="16" s="1"/>
  <c r="F361" i="16"/>
  <c r="G361" i="16" s="1"/>
  <c r="E362" i="16" l="1"/>
  <c r="H362" i="16"/>
  <c r="J362" i="16" s="1"/>
  <c r="F362" i="16" l="1"/>
  <c r="G362" i="16" s="1"/>
  <c r="I362" i="16"/>
  <c r="C363" i="16" s="1"/>
  <c r="H363" i="16" l="1"/>
  <c r="J363" i="16" s="1"/>
  <c r="E363" i="16"/>
  <c r="I363" i="16" l="1"/>
  <c r="C364" i="16" s="1"/>
  <c r="F363" i="16"/>
  <c r="G363" i="16" s="1"/>
  <c r="E364" i="16" l="1"/>
  <c r="H364" i="16"/>
  <c r="J364" i="16" s="1"/>
  <c r="F364" i="16" l="1"/>
  <c r="G364" i="16" s="1"/>
  <c r="I364" i="16"/>
  <c r="C365" i="16" s="1"/>
  <c r="E365" i="16" l="1"/>
  <c r="H365" i="16"/>
  <c r="J365" i="16" s="1"/>
  <c r="I365" i="16" l="1"/>
  <c r="C366" i="16" s="1"/>
  <c r="F365" i="16"/>
  <c r="G365" i="16" s="1"/>
  <c r="E366" i="16" l="1"/>
  <c r="H366" i="16"/>
  <c r="J366" i="16" s="1"/>
  <c r="F366" i="16" l="1"/>
  <c r="G366" i="16" s="1"/>
  <c r="I366" i="16"/>
  <c r="C367" i="16" s="1"/>
  <c r="H367" i="16" l="1"/>
  <c r="J367" i="16" s="1"/>
  <c r="E367" i="16"/>
  <c r="I367" i="16" l="1"/>
  <c r="C368" i="16" s="1"/>
  <c r="F367" i="16"/>
  <c r="G367" i="16" s="1"/>
  <c r="H368" i="16" l="1"/>
  <c r="J368" i="16" s="1"/>
  <c r="E368" i="16"/>
  <c r="F368" i="16" l="1"/>
  <c r="G368" i="16" s="1"/>
  <c r="I368" i="16"/>
  <c r="C369" i="16" s="1"/>
  <c r="E369" i="16" l="1"/>
  <c r="H369" i="16"/>
  <c r="J369" i="16" s="1"/>
  <c r="F369" i="16" l="1"/>
  <c r="G369" i="16" s="1"/>
  <c r="I369" i="16"/>
  <c r="C370" i="16" s="1"/>
  <c r="E370" i="16" l="1"/>
  <c r="H370" i="16"/>
  <c r="J370" i="16" s="1"/>
  <c r="F370" i="16" l="1"/>
  <c r="G370" i="16" s="1"/>
  <c r="I370" i="16"/>
  <c r="C371" i="16" s="1"/>
  <c r="H371" i="16" l="1"/>
  <c r="J371" i="16" s="1"/>
  <c r="E371" i="16"/>
  <c r="I371" i="16" l="1"/>
  <c r="C372" i="16" s="1"/>
  <c r="F371" i="16"/>
  <c r="G371" i="16" s="1"/>
  <c r="E372" i="16" l="1"/>
  <c r="H372" i="16"/>
  <c r="J372" i="16" s="1"/>
  <c r="I372" i="16" l="1"/>
  <c r="C373" i="16" s="1"/>
  <c r="F372" i="16"/>
  <c r="G372" i="16" s="1"/>
  <c r="H373" i="16" l="1"/>
  <c r="J373" i="16" s="1"/>
  <c r="E373" i="16"/>
  <c r="F373" i="16" l="1"/>
  <c r="G373" i="16" s="1"/>
  <c r="I373" i="16"/>
  <c r="C374" i="16" s="1"/>
  <c r="E374" i="16" l="1"/>
  <c r="H374" i="16"/>
  <c r="J374" i="16" s="1"/>
  <c r="I374" i="16" l="1"/>
  <c r="C375" i="16" s="1"/>
  <c r="F374" i="16"/>
  <c r="G374" i="16" s="1"/>
  <c r="H375" i="16" l="1"/>
  <c r="J375" i="16" s="1"/>
  <c r="E375" i="16"/>
  <c r="I375" i="16" l="1"/>
  <c r="C376" i="16" s="1"/>
  <c r="F375" i="16"/>
  <c r="G375" i="16" s="1"/>
  <c r="E376" i="16" l="1"/>
  <c r="H376" i="16"/>
  <c r="J376" i="16" s="1"/>
  <c r="F376" i="16" l="1"/>
  <c r="G376" i="16" s="1"/>
  <c r="I376" i="16"/>
  <c r="C377" i="16" s="1"/>
  <c r="H377" i="16" l="1"/>
  <c r="J377" i="16" s="1"/>
  <c r="E377" i="16"/>
  <c r="I377" i="16" l="1"/>
  <c r="C378" i="16" s="1"/>
  <c r="F377" i="16"/>
  <c r="G377" i="16" s="1"/>
  <c r="E378" i="16" l="1"/>
  <c r="H378" i="16"/>
  <c r="J378" i="16" s="1"/>
  <c r="F378" i="16" l="1"/>
  <c r="G378" i="16" s="1"/>
  <c r="I378" i="16"/>
  <c r="C379" i="16" s="1"/>
  <c r="E379" i="16" l="1"/>
  <c r="H379" i="16"/>
  <c r="J379" i="16" s="1"/>
  <c r="I379" i="16" l="1"/>
  <c r="C380" i="16" s="1"/>
  <c r="F379" i="16"/>
  <c r="G379" i="16" s="1"/>
  <c r="E380" i="16" l="1"/>
  <c r="H380" i="16"/>
  <c r="J380" i="16" s="1"/>
  <c r="I380" i="16" l="1"/>
  <c r="C381" i="16" s="1"/>
  <c r="F380" i="16"/>
  <c r="G380" i="16" s="1"/>
  <c r="H381" i="16" l="1"/>
  <c r="J381" i="16" s="1"/>
  <c r="E381" i="16"/>
  <c r="F381" i="16" l="1"/>
  <c r="G381" i="16" s="1"/>
  <c r="I381" i="16"/>
  <c r="C382" i="16" s="1"/>
  <c r="E382" i="16" l="1"/>
  <c r="H382" i="16"/>
  <c r="J382" i="16" s="1"/>
  <c r="F382" i="16" l="1"/>
  <c r="G382" i="16" s="1"/>
  <c r="I382" i="16"/>
  <c r="C383" i="16" s="1"/>
  <c r="E383" i="16" l="1"/>
  <c r="H383" i="16"/>
  <c r="J383" i="16" s="1"/>
  <c r="F383" i="16" l="1"/>
  <c r="G383" i="16" s="1"/>
  <c r="I383" i="16"/>
  <c r="C384" i="16" s="1"/>
  <c r="E384" i="16" l="1"/>
  <c r="H384" i="16"/>
  <c r="J384" i="16" s="1"/>
  <c r="F384" i="16" l="1"/>
  <c r="G384" i="16" s="1"/>
  <c r="I384" i="16"/>
  <c r="C385" i="16" s="1"/>
  <c r="H385" i="16" l="1"/>
  <c r="J385" i="16" s="1"/>
  <c r="E385" i="16"/>
  <c r="I385" i="16" l="1"/>
  <c r="C386" i="16" s="1"/>
  <c r="F385" i="16"/>
  <c r="G385" i="16" s="1"/>
  <c r="H386" i="16" l="1"/>
  <c r="J386" i="16" s="1"/>
  <c r="E386" i="16"/>
  <c r="F386" i="16" l="1"/>
  <c r="G386" i="16" s="1"/>
  <c r="I386" i="16"/>
  <c r="C387" i="16" s="1"/>
  <c r="E387" i="16" l="1"/>
  <c r="H387" i="16"/>
  <c r="J387" i="16" s="1"/>
  <c r="I387" i="16" l="1"/>
  <c r="C388" i="16" s="1"/>
  <c r="F387" i="16"/>
  <c r="G387" i="16" s="1"/>
  <c r="E388" i="16" l="1"/>
  <c r="H388" i="16"/>
  <c r="J388" i="16" s="1"/>
  <c r="F388" i="16" l="1"/>
  <c r="G388" i="16" s="1"/>
  <c r="I388" i="16"/>
  <c r="C389" i="16" s="1"/>
  <c r="H389" i="16" l="1"/>
  <c r="J389" i="16" s="1"/>
  <c r="E389" i="16"/>
  <c r="F389" i="16" l="1"/>
  <c r="G389" i="16" s="1"/>
  <c r="I389" i="16"/>
  <c r="C390" i="16" s="1"/>
  <c r="E390" i="16" l="1"/>
  <c r="H390" i="16"/>
  <c r="J390" i="16" s="1"/>
  <c r="I390" i="16" l="1"/>
  <c r="C391" i="16" s="1"/>
  <c r="F390" i="16"/>
  <c r="G390" i="16" s="1"/>
  <c r="H391" i="16" l="1"/>
  <c r="J391" i="16" s="1"/>
  <c r="E391" i="16"/>
  <c r="I391" i="16" l="1"/>
  <c r="C392" i="16" s="1"/>
  <c r="F391" i="16"/>
  <c r="G391" i="16" s="1"/>
  <c r="E392" i="16" l="1"/>
  <c r="H392" i="16"/>
  <c r="J392" i="16" s="1"/>
  <c r="F392" i="16" l="1"/>
  <c r="G392" i="16" s="1"/>
  <c r="I392" i="16"/>
  <c r="C393" i="16" s="1"/>
  <c r="H393" i="16" l="1"/>
  <c r="J393" i="16" s="1"/>
  <c r="E393" i="16"/>
  <c r="F393" i="16" l="1"/>
  <c r="G393" i="16" s="1"/>
  <c r="I393" i="16"/>
  <c r="C394" i="16" s="1"/>
  <c r="E394" i="16" l="1"/>
  <c r="H394" i="16"/>
  <c r="J394" i="16" s="1"/>
  <c r="F394" i="16" l="1"/>
  <c r="G394" i="16" s="1"/>
  <c r="I394" i="16"/>
  <c r="C395" i="16" s="1"/>
  <c r="E395" i="16" l="1"/>
  <c r="H395" i="16"/>
  <c r="J395" i="16" s="1"/>
  <c r="I395" i="16" l="1"/>
  <c r="C396" i="16" s="1"/>
  <c r="F395" i="16"/>
  <c r="G395" i="16" s="1"/>
  <c r="E396" i="16" l="1"/>
  <c r="H396" i="16"/>
  <c r="J396" i="16" s="1"/>
  <c r="I396" i="16" l="1"/>
  <c r="C397" i="16" s="1"/>
  <c r="F396" i="16"/>
  <c r="G396" i="16" s="1"/>
  <c r="H397" i="16" l="1"/>
  <c r="J397" i="16" s="1"/>
  <c r="E397" i="16"/>
  <c r="F397" i="16" l="1"/>
  <c r="G397" i="16" s="1"/>
  <c r="I397" i="16"/>
  <c r="C398" i="16" s="1"/>
  <c r="H398" i="16" l="1"/>
  <c r="J398" i="16" s="1"/>
  <c r="E398" i="16"/>
  <c r="F398" i="16" l="1"/>
  <c r="G398" i="16" s="1"/>
  <c r="I398" i="16"/>
  <c r="C399" i="16" s="1"/>
  <c r="H399" i="16" l="1"/>
  <c r="J399" i="16" s="1"/>
  <c r="E399" i="16"/>
  <c r="F399" i="16" l="1"/>
  <c r="G399" i="16" s="1"/>
  <c r="I399" i="16"/>
  <c r="C400" i="16" s="1"/>
  <c r="E400" i="16" l="1"/>
  <c r="H400" i="16"/>
  <c r="J400" i="16" s="1"/>
  <c r="I400" i="16" l="1"/>
  <c r="C401" i="16" s="1"/>
  <c r="F400" i="16"/>
  <c r="G400" i="16" s="1"/>
  <c r="H401" i="16" l="1"/>
  <c r="J401" i="16" s="1"/>
  <c r="E401" i="16"/>
  <c r="F401" i="16" l="1"/>
  <c r="G401" i="16" s="1"/>
  <c r="I401" i="16"/>
  <c r="C402" i="16" s="1"/>
  <c r="E402" i="16" l="1"/>
  <c r="H402" i="16"/>
  <c r="J402" i="16" s="1"/>
  <c r="F402" i="16" l="1"/>
  <c r="G402" i="16" s="1"/>
  <c r="I402" i="16"/>
  <c r="C403" i="16" s="1"/>
  <c r="E403" i="16" l="1"/>
  <c r="H403" i="16"/>
  <c r="J403" i="16" s="1"/>
  <c r="I403" i="16" l="1"/>
  <c r="C404" i="16" s="1"/>
  <c r="F403" i="16"/>
  <c r="G403" i="16" s="1"/>
  <c r="E404" i="16" l="1"/>
  <c r="H404" i="16"/>
  <c r="J404" i="16" s="1"/>
  <c r="I404" i="16" l="1"/>
  <c r="C405" i="16" s="1"/>
  <c r="F404" i="16"/>
  <c r="G404" i="16" s="1"/>
  <c r="H405" i="16" l="1"/>
  <c r="J405" i="16" s="1"/>
  <c r="E405" i="16"/>
  <c r="F405" i="16" l="1"/>
  <c r="G405" i="16" s="1"/>
  <c r="I405" i="16"/>
  <c r="C406" i="16" s="1"/>
  <c r="E406" i="16" l="1"/>
  <c r="H406" i="16"/>
  <c r="J406" i="16" s="1"/>
  <c r="I406" i="16" l="1"/>
  <c r="C407" i="16" s="1"/>
  <c r="F406" i="16"/>
  <c r="G406" i="16" s="1"/>
  <c r="E407" i="16" l="1"/>
  <c r="H407" i="16"/>
  <c r="J407" i="16" s="1"/>
  <c r="I407" i="16" l="1"/>
  <c r="C408" i="16" s="1"/>
  <c r="F407" i="16"/>
  <c r="G407" i="16" s="1"/>
  <c r="E408" i="16" l="1"/>
  <c r="H408" i="16"/>
  <c r="J408" i="16" s="1"/>
  <c r="I408" i="16" l="1"/>
  <c r="C409" i="16" s="1"/>
  <c r="F408" i="16"/>
  <c r="G408" i="16" s="1"/>
  <c r="H409" i="16" l="1"/>
  <c r="J409" i="16" s="1"/>
  <c r="E409" i="16"/>
  <c r="F409" i="16" l="1"/>
  <c r="G409" i="16" s="1"/>
  <c r="I409" i="16"/>
  <c r="C410" i="16" s="1"/>
  <c r="E410" i="16" l="1"/>
  <c r="H410" i="16"/>
  <c r="J410" i="16" s="1"/>
  <c r="F410" i="16" l="1"/>
  <c r="G410" i="16" s="1"/>
  <c r="I410" i="16"/>
  <c r="C411" i="16" s="1"/>
  <c r="E411" i="16" l="1"/>
  <c r="H411" i="16"/>
  <c r="J411" i="16" s="1"/>
  <c r="I411" i="16" l="1"/>
  <c r="C412" i="16" s="1"/>
  <c r="F411" i="16"/>
  <c r="G411" i="16" s="1"/>
  <c r="E412" i="16" l="1"/>
  <c r="H412" i="16"/>
  <c r="J412" i="16" s="1"/>
  <c r="F412" i="16" l="1"/>
  <c r="G412" i="16" s="1"/>
  <c r="I412" i="16"/>
  <c r="C413" i="16" s="1"/>
  <c r="H413" i="16" l="1"/>
  <c r="J413" i="16" s="1"/>
  <c r="E413" i="16"/>
  <c r="I413" i="16" l="1"/>
  <c r="C414" i="16" s="1"/>
  <c r="F413" i="16"/>
  <c r="G413" i="16" s="1"/>
  <c r="E414" i="16" l="1"/>
  <c r="H414" i="16"/>
  <c r="J414" i="16" s="1"/>
  <c r="F414" i="16" l="1"/>
  <c r="G414" i="16" s="1"/>
  <c r="I414" i="16"/>
  <c r="C415" i="16" s="1"/>
  <c r="E415" i="16" l="1"/>
  <c r="H415" i="16"/>
  <c r="J415" i="16" s="1"/>
  <c r="F415" i="16" l="1"/>
  <c r="G415" i="16" s="1"/>
  <c r="I415" i="16"/>
  <c r="C416" i="16" s="1"/>
  <c r="E416" i="16" l="1"/>
  <c r="H416" i="16"/>
  <c r="J416" i="16" s="1"/>
  <c r="F416" i="16" l="1"/>
  <c r="G416" i="16" s="1"/>
  <c r="I416" i="16"/>
  <c r="C417" i="16" s="1"/>
  <c r="H417" i="16" l="1"/>
  <c r="J417" i="16" s="1"/>
  <c r="E417" i="16"/>
  <c r="F417" i="16" l="1"/>
  <c r="G417" i="16" s="1"/>
  <c r="I417" i="16"/>
  <c r="C418" i="16" s="1"/>
  <c r="E418" i="16" l="1"/>
  <c r="H418" i="16"/>
  <c r="J418" i="16" s="1"/>
  <c r="F418" i="16" l="1"/>
  <c r="G418" i="16" s="1"/>
  <c r="I418" i="16"/>
  <c r="C419" i="16" s="1"/>
  <c r="H419" i="16" l="1"/>
  <c r="J419" i="16" s="1"/>
  <c r="E419" i="16"/>
  <c r="I419" i="16" l="1"/>
  <c r="C420" i="16" s="1"/>
  <c r="F419" i="16"/>
  <c r="G419" i="16" s="1"/>
  <c r="E420" i="16" l="1"/>
  <c r="H420" i="16"/>
  <c r="J420" i="16" s="1"/>
  <c r="F420" i="16" l="1"/>
  <c r="G420" i="16" s="1"/>
  <c r="I420" i="16"/>
  <c r="C421" i="16" s="1"/>
  <c r="H421" i="16" l="1"/>
  <c r="J421" i="16" s="1"/>
  <c r="E421" i="16"/>
  <c r="F421" i="16" l="1"/>
  <c r="G421" i="16" s="1"/>
  <c r="I421" i="16"/>
  <c r="C422" i="16" s="1"/>
  <c r="E422" i="16" l="1"/>
  <c r="H422" i="16"/>
  <c r="J422" i="16" s="1"/>
  <c r="I422" i="16" l="1"/>
  <c r="C423" i="16" s="1"/>
  <c r="F422" i="16"/>
  <c r="G422" i="16" s="1"/>
  <c r="H423" i="16" l="1"/>
  <c r="J423" i="16" s="1"/>
  <c r="E423" i="16"/>
  <c r="I423" i="16" l="1"/>
  <c r="C424" i="16" s="1"/>
  <c r="F423" i="16"/>
  <c r="G423" i="16" s="1"/>
  <c r="E424" i="16" l="1"/>
  <c r="H424" i="16"/>
  <c r="J424" i="16" s="1"/>
  <c r="I424" i="16" l="1"/>
  <c r="C425" i="16" s="1"/>
  <c r="F424" i="16"/>
  <c r="G424" i="16" s="1"/>
  <c r="H425" i="16" l="1"/>
  <c r="J425" i="16" s="1"/>
  <c r="E425" i="16"/>
  <c r="I425" i="16" l="1"/>
  <c r="C426" i="16" s="1"/>
  <c r="F425" i="16"/>
  <c r="G425" i="16" s="1"/>
  <c r="E426" i="16" l="1"/>
  <c r="H426" i="16"/>
  <c r="J426" i="16" s="1"/>
  <c r="F426" i="16" l="1"/>
  <c r="G426" i="16" s="1"/>
  <c r="I426" i="16"/>
  <c r="C427" i="16" s="1"/>
  <c r="E427" i="16" l="1"/>
  <c r="H427" i="16"/>
  <c r="J427" i="16" s="1"/>
  <c r="I427" i="16" l="1"/>
  <c r="C428" i="16" s="1"/>
  <c r="F427" i="16"/>
  <c r="G427" i="16" s="1"/>
  <c r="E428" i="16" l="1"/>
  <c r="H428" i="16"/>
  <c r="J428" i="16" s="1"/>
  <c r="F428" i="16" l="1"/>
  <c r="G428" i="16" s="1"/>
  <c r="I428" i="16"/>
  <c r="C429" i="16" s="1"/>
  <c r="H429" i="16" l="1"/>
  <c r="J429" i="16" s="1"/>
  <c r="E429" i="16"/>
  <c r="I429" i="16" l="1"/>
  <c r="C430" i="16" s="1"/>
  <c r="F429" i="16"/>
  <c r="G429" i="16" s="1"/>
  <c r="E430" i="16" l="1"/>
  <c r="H430" i="16"/>
  <c r="J430" i="16" s="1"/>
  <c r="F430" i="16" l="1"/>
  <c r="G430" i="16" s="1"/>
  <c r="I430" i="16"/>
  <c r="C431" i="16" s="1"/>
  <c r="H431" i="16" l="1"/>
  <c r="J431" i="16" s="1"/>
  <c r="E431" i="16"/>
  <c r="I431" i="16" l="1"/>
  <c r="C432" i="16" s="1"/>
  <c r="F431" i="16"/>
  <c r="G431" i="16" s="1"/>
  <c r="E432" i="16" l="1"/>
  <c r="H432" i="16"/>
  <c r="J432" i="16" s="1"/>
  <c r="I432" i="16" l="1"/>
  <c r="C433" i="16" s="1"/>
  <c r="F432" i="16"/>
  <c r="G432" i="16" s="1"/>
  <c r="H433" i="16" l="1"/>
  <c r="J433" i="16" s="1"/>
  <c r="E433" i="16"/>
  <c r="I433" i="16" l="1"/>
  <c r="C434" i="16" s="1"/>
  <c r="F433" i="16"/>
  <c r="G433" i="16" s="1"/>
  <c r="E434" i="16" l="1"/>
  <c r="H434" i="16"/>
  <c r="J434" i="16" s="1"/>
  <c r="F434" i="16" l="1"/>
  <c r="G434" i="16" s="1"/>
  <c r="I434" i="16"/>
  <c r="C435" i="16" s="1"/>
  <c r="H435" i="16" l="1"/>
  <c r="J435" i="16" s="1"/>
  <c r="E435" i="16"/>
  <c r="F435" i="16" l="1"/>
  <c r="G435" i="16" s="1"/>
  <c r="I435" i="16"/>
  <c r="C436" i="16" s="1"/>
  <c r="E436" i="16" l="1"/>
  <c r="H436" i="16"/>
  <c r="J436" i="16" s="1"/>
  <c r="F436" i="16" l="1"/>
  <c r="G436" i="16" s="1"/>
  <c r="I436" i="16"/>
  <c r="C437" i="16" s="1"/>
  <c r="H437" i="16" l="1"/>
  <c r="J437" i="16" s="1"/>
  <c r="E437" i="16"/>
  <c r="I437" i="16" l="1"/>
  <c r="C438" i="16" s="1"/>
  <c r="F437" i="16"/>
  <c r="G437" i="16" s="1"/>
  <c r="H438" i="16" l="1"/>
  <c r="J438" i="16" s="1"/>
  <c r="E438" i="16"/>
  <c r="I438" i="16" l="1"/>
  <c r="C439" i="16" s="1"/>
  <c r="F438" i="16"/>
  <c r="G438" i="16" s="1"/>
  <c r="H439" i="16" l="1"/>
  <c r="J439" i="16" s="1"/>
  <c r="E439" i="16"/>
  <c r="I439" i="16" l="1"/>
  <c r="C440" i="16" s="1"/>
  <c r="F439" i="16"/>
  <c r="G439" i="16" s="1"/>
  <c r="E440" i="16" l="1"/>
  <c r="H440" i="16"/>
  <c r="J440" i="16" s="1"/>
  <c r="F440" i="16" l="1"/>
  <c r="G440" i="16" s="1"/>
  <c r="I440" i="16"/>
  <c r="C441" i="16" s="1"/>
  <c r="H441" i="16" l="1"/>
  <c r="J441" i="16" s="1"/>
  <c r="E441" i="16"/>
  <c r="I441" i="16" l="1"/>
  <c r="C442" i="16" s="1"/>
  <c r="F441" i="16"/>
  <c r="G441" i="16" s="1"/>
  <c r="E442" i="16" l="1"/>
  <c r="H442" i="16"/>
  <c r="J442" i="16" s="1"/>
  <c r="I442" i="16" l="1"/>
  <c r="C443" i="16" s="1"/>
  <c r="F442" i="16"/>
  <c r="G442" i="16" s="1"/>
  <c r="H443" i="16" l="1"/>
  <c r="J443" i="16" s="1"/>
  <c r="E443" i="16"/>
  <c r="F443" i="16" l="1"/>
  <c r="G443" i="16" s="1"/>
  <c r="I443" i="16"/>
  <c r="C444" i="16" s="1"/>
  <c r="E444" i="16" l="1"/>
  <c r="H444" i="16"/>
  <c r="J444" i="16" s="1"/>
  <c r="F444" i="16" l="1"/>
  <c r="G444" i="16" s="1"/>
  <c r="I444" i="16"/>
  <c r="C445" i="16" s="1"/>
  <c r="H445" i="16" l="1"/>
  <c r="J445" i="16" s="1"/>
  <c r="E445" i="16"/>
  <c r="F445" i="16" l="1"/>
  <c r="G445" i="16" s="1"/>
  <c r="I445" i="16"/>
  <c r="C446" i="16" s="1"/>
  <c r="E446" i="16" l="1"/>
  <c r="H446" i="16"/>
  <c r="J446" i="16" s="1"/>
  <c r="F446" i="16" l="1"/>
  <c r="G446" i="16" s="1"/>
  <c r="I446" i="16"/>
  <c r="C447" i="16" s="1"/>
  <c r="H447" i="16" l="1"/>
  <c r="J447" i="16" s="1"/>
  <c r="E447" i="16"/>
  <c r="F447" i="16" l="1"/>
  <c r="G447" i="16" s="1"/>
  <c r="I447" i="16"/>
  <c r="C448" i="16" s="1"/>
  <c r="E448" i="16" l="1"/>
  <c r="H448" i="16"/>
  <c r="J448" i="16" s="1"/>
  <c r="I448" i="16" l="1"/>
  <c r="C449" i="16" s="1"/>
  <c r="F448" i="16"/>
  <c r="G448" i="16" s="1"/>
  <c r="H449" i="16" l="1"/>
  <c r="J449" i="16" s="1"/>
  <c r="E449" i="16"/>
  <c r="I449" i="16" l="1"/>
  <c r="C450" i="16" s="1"/>
  <c r="F449" i="16"/>
  <c r="G449" i="16" s="1"/>
  <c r="E450" i="16" l="1"/>
  <c r="H450" i="16"/>
  <c r="J450" i="16" s="1"/>
  <c r="F450" i="16" l="1"/>
  <c r="G450" i="16" s="1"/>
  <c r="I450" i="16"/>
  <c r="C451" i="16" s="1"/>
  <c r="E451" i="16" l="1"/>
  <c r="H451" i="16"/>
  <c r="J451" i="16" s="1"/>
  <c r="I451" i="16" l="1"/>
  <c r="C452" i="16" s="1"/>
  <c r="F451" i="16"/>
  <c r="G451" i="16" s="1"/>
  <c r="E452" i="16" l="1"/>
  <c r="H452" i="16"/>
  <c r="J452" i="16" s="1"/>
  <c r="F452" i="16" l="1"/>
  <c r="G452" i="16" s="1"/>
  <c r="I452" i="16"/>
  <c r="C453" i="16" s="1"/>
  <c r="H453" i="16" l="1"/>
  <c r="J453" i="16" s="1"/>
  <c r="E453" i="16"/>
  <c r="I453" i="16" l="1"/>
  <c r="C454" i="16" s="1"/>
  <c r="F453" i="16"/>
  <c r="G453" i="16" s="1"/>
  <c r="H454" i="16" l="1"/>
  <c r="J454" i="16" s="1"/>
  <c r="E454" i="16"/>
  <c r="F454" i="16" l="1"/>
  <c r="G454" i="16" s="1"/>
  <c r="I454" i="16"/>
  <c r="C455" i="16" s="1"/>
  <c r="H455" i="16" l="1"/>
  <c r="J455" i="16" s="1"/>
  <c r="E455" i="16"/>
  <c r="I455" i="16" l="1"/>
  <c r="C456" i="16" s="1"/>
  <c r="F455" i="16"/>
  <c r="G455" i="16" s="1"/>
  <c r="E456" i="16" l="1"/>
  <c r="H456" i="16"/>
  <c r="J456" i="16" s="1"/>
  <c r="I456" i="16" l="1"/>
  <c r="C457" i="16" s="1"/>
  <c r="F456" i="16"/>
  <c r="G456" i="16" s="1"/>
  <c r="H457" i="16" l="1"/>
  <c r="J457" i="16" s="1"/>
  <c r="E457" i="16"/>
  <c r="I457" i="16" l="1"/>
  <c r="C458" i="16" s="1"/>
  <c r="F457" i="16"/>
  <c r="G457" i="16" s="1"/>
  <c r="E458" i="16" l="1"/>
  <c r="H458" i="16"/>
  <c r="J458" i="16" s="1"/>
  <c r="F458" i="16" l="1"/>
  <c r="G458" i="16" s="1"/>
  <c r="I458" i="16"/>
  <c r="C459" i="16" s="1"/>
  <c r="H459" i="16" l="1"/>
  <c r="J459" i="16" s="1"/>
  <c r="E459" i="16"/>
  <c r="I459" i="16" l="1"/>
  <c r="C460" i="16" s="1"/>
  <c r="F459" i="16"/>
  <c r="G459" i="16" s="1"/>
  <c r="H460" i="16" l="1"/>
  <c r="J460" i="16" s="1"/>
  <c r="E460" i="16"/>
  <c r="F460" i="16" l="1"/>
  <c r="G460" i="16" s="1"/>
  <c r="I460" i="16"/>
  <c r="C461" i="16" s="1"/>
  <c r="H461" i="16" l="1"/>
  <c r="J461" i="16" s="1"/>
  <c r="E461" i="16"/>
  <c r="I461" i="16" l="1"/>
  <c r="C462" i="16" s="1"/>
  <c r="F461" i="16"/>
  <c r="G461" i="16" s="1"/>
  <c r="H462" i="16" l="1"/>
  <c r="J462" i="16" s="1"/>
  <c r="E462" i="16"/>
  <c r="F462" i="16" l="1"/>
  <c r="G462" i="16" s="1"/>
  <c r="I462" i="16"/>
  <c r="C463" i="16" s="1"/>
  <c r="E463" i="16" l="1"/>
  <c r="H463" i="16"/>
  <c r="J463" i="16" s="1"/>
  <c r="F463" i="16" l="1"/>
  <c r="G463" i="16" s="1"/>
  <c r="I463" i="16"/>
  <c r="C464" i="16" s="1"/>
  <c r="H464" i="16" l="1"/>
  <c r="J464" i="16" s="1"/>
  <c r="E464" i="16"/>
  <c r="I464" i="16" l="1"/>
  <c r="C465" i="16" s="1"/>
  <c r="F464" i="16"/>
  <c r="G464" i="16" s="1"/>
  <c r="E465" i="16" l="1"/>
  <c r="H465" i="16"/>
  <c r="J465" i="16" s="1"/>
  <c r="I465" i="16" l="1"/>
  <c r="C466" i="16" s="1"/>
  <c r="F465" i="16"/>
  <c r="G465" i="16" s="1"/>
  <c r="E466" i="16" l="1"/>
  <c r="H466" i="16"/>
  <c r="J466" i="16" s="1"/>
  <c r="F466" i="16" l="1"/>
  <c r="G466" i="16" s="1"/>
  <c r="I466" i="16"/>
  <c r="C467" i="16" s="1"/>
  <c r="E467" i="16" l="1"/>
  <c r="H467" i="16"/>
  <c r="J467" i="16" s="1"/>
  <c r="I467" i="16" l="1"/>
  <c r="C468" i="16" s="1"/>
  <c r="F467" i="16"/>
  <c r="G467" i="16" s="1"/>
  <c r="E468" i="16" l="1"/>
  <c r="H468" i="16"/>
  <c r="J468" i="16" s="1"/>
  <c r="F468" i="16" l="1"/>
  <c r="G468" i="16" s="1"/>
  <c r="I468" i="16"/>
  <c r="C469" i="16" s="1"/>
  <c r="H469" i="16" l="1"/>
  <c r="J469" i="16" s="1"/>
  <c r="E469" i="16"/>
  <c r="I469" i="16" l="1"/>
  <c r="C470" i="16" s="1"/>
  <c r="F469" i="16"/>
  <c r="G469" i="16" s="1"/>
  <c r="H470" i="16" l="1"/>
  <c r="J470" i="16" s="1"/>
  <c r="E470" i="16"/>
  <c r="F470" i="16" l="1"/>
  <c r="G470" i="16" s="1"/>
  <c r="I470" i="16"/>
  <c r="C471" i="16" s="1"/>
  <c r="E471" i="16" l="1"/>
  <c r="H471" i="16"/>
  <c r="J471" i="16" s="1"/>
  <c r="I471" i="16" l="1"/>
  <c r="C472" i="16" s="1"/>
  <c r="F471" i="16"/>
  <c r="G471" i="16" s="1"/>
  <c r="H472" i="16" l="1"/>
  <c r="J472" i="16" s="1"/>
  <c r="E472" i="16"/>
  <c r="I472" i="16" l="1"/>
  <c r="C473" i="16" s="1"/>
  <c r="F472" i="16"/>
  <c r="G472" i="16" s="1"/>
  <c r="E473" i="16" l="1"/>
  <c r="H473" i="16"/>
  <c r="J473" i="16" s="1"/>
  <c r="I473" i="16" l="1"/>
  <c r="C474" i="16" s="1"/>
  <c r="F473" i="16"/>
  <c r="G473" i="16" s="1"/>
  <c r="H474" i="16" l="1"/>
  <c r="J474" i="16" s="1"/>
  <c r="E474" i="16"/>
  <c r="F474" i="16" l="1"/>
  <c r="G474" i="16" s="1"/>
  <c r="I474" i="16"/>
  <c r="C475" i="16" s="1"/>
  <c r="E475" i="16" l="1"/>
  <c r="H475" i="16"/>
  <c r="J475" i="16" s="1"/>
  <c r="I475" i="16" l="1"/>
  <c r="C476" i="16" s="1"/>
  <c r="F475" i="16"/>
  <c r="G475" i="16" s="1"/>
  <c r="H476" i="16" l="1"/>
  <c r="J476" i="16" s="1"/>
  <c r="E476" i="16"/>
  <c r="F476" i="16" l="1"/>
  <c r="G476" i="16" s="1"/>
  <c r="I476" i="16"/>
  <c r="C477" i="16" s="1"/>
  <c r="E477" i="16" l="1"/>
  <c r="H477" i="16"/>
  <c r="J477" i="16" s="1"/>
  <c r="F477" i="16" l="1"/>
  <c r="G477" i="16" s="1"/>
  <c r="I477" i="16"/>
  <c r="C478" i="16" s="1"/>
  <c r="H478" i="16" l="1"/>
  <c r="J478" i="16" s="1"/>
  <c r="E478" i="16"/>
  <c r="F478" i="16" l="1"/>
  <c r="G478" i="16" s="1"/>
  <c r="I478" i="16"/>
  <c r="C479" i="16" s="1"/>
  <c r="E479" i="16" l="1"/>
  <c r="H479" i="16"/>
  <c r="J479" i="16" s="1"/>
  <c r="I479" i="16" l="1"/>
  <c r="C480" i="16" s="1"/>
  <c r="F479" i="16"/>
  <c r="G479" i="16" s="1"/>
  <c r="H480" i="16" l="1"/>
  <c r="J480" i="16" s="1"/>
  <c r="E480" i="16"/>
  <c r="I480" i="16" l="1"/>
  <c r="C481" i="16" s="1"/>
  <c r="F480" i="16"/>
  <c r="G480" i="16" s="1"/>
  <c r="E481" i="16" l="1"/>
  <c r="H481" i="16"/>
  <c r="J481" i="16" s="1"/>
  <c r="I481" i="16" l="1"/>
  <c r="C482" i="16" s="1"/>
  <c r="F481" i="16"/>
  <c r="G481" i="16" s="1"/>
  <c r="H482" i="16" l="1"/>
  <c r="J482" i="16" s="1"/>
  <c r="E482" i="16"/>
  <c r="F482" i="16" l="1"/>
  <c r="G482" i="16" s="1"/>
  <c r="I482" i="16"/>
  <c r="C483" i="16" s="1"/>
  <c r="H483" i="16" l="1"/>
  <c r="J483" i="16" s="1"/>
  <c r="E483" i="16"/>
  <c r="F483" i="16" l="1"/>
  <c r="G483" i="16" s="1"/>
  <c r="I483" i="16"/>
  <c r="C484" i="16" s="1"/>
  <c r="H484" i="16" l="1"/>
  <c r="J484" i="16" s="1"/>
  <c r="E484" i="16"/>
  <c r="I484" i="16" l="1"/>
  <c r="C485" i="16" s="1"/>
  <c r="F484" i="16"/>
  <c r="G484" i="16" s="1"/>
  <c r="H485" i="16" l="1"/>
  <c r="J485" i="16" s="1"/>
  <c r="E485" i="16"/>
  <c r="I485" i="16" l="1"/>
  <c r="C486" i="16" s="1"/>
  <c r="F485" i="16"/>
  <c r="G485" i="16" s="1"/>
  <c r="E486" i="16" l="1"/>
  <c r="H486" i="16"/>
  <c r="J486" i="16" s="1"/>
  <c r="F486" i="16" l="1"/>
  <c r="G486" i="16" s="1"/>
  <c r="I486" i="16"/>
  <c r="C487" i="16" s="1"/>
  <c r="E487" i="16" l="1"/>
  <c r="H487" i="16"/>
  <c r="J487" i="16" s="1"/>
  <c r="I487" i="16" l="1"/>
  <c r="C488" i="16" s="1"/>
  <c r="F487" i="16"/>
  <c r="G487" i="16" s="1"/>
  <c r="E488" i="16" l="1"/>
  <c r="H488" i="16"/>
  <c r="J488" i="16" s="1"/>
  <c r="F488" i="16" l="1"/>
  <c r="G488" i="16" s="1"/>
  <c r="I488" i="16"/>
  <c r="C489" i="16" s="1"/>
  <c r="H489" i="16" l="1"/>
  <c r="J489" i="16" s="1"/>
  <c r="E489" i="16"/>
  <c r="F489" i="16" l="1"/>
  <c r="G489" i="16" s="1"/>
  <c r="I489" i="16"/>
  <c r="C490" i="16" s="1"/>
  <c r="E490" i="16" l="1"/>
  <c r="H490" i="16"/>
  <c r="J490" i="16" s="1"/>
  <c r="F490" i="16" l="1"/>
  <c r="G490" i="16" s="1"/>
  <c r="I490" i="16"/>
  <c r="C491" i="16" s="1"/>
  <c r="E491" i="16" l="1"/>
  <c r="H491" i="16"/>
  <c r="J491" i="16" s="1"/>
  <c r="F491" i="16" l="1"/>
  <c r="G491" i="16" s="1"/>
  <c r="I491" i="16"/>
  <c r="C492" i="16" s="1"/>
  <c r="E492" i="16" l="1"/>
  <c r="H492" i="16"/>
  <c r="J492" i="16" s="1"/>
  <c r="F492" i="16" l="1"/>
  <c r="G492" i="16" s="1"/>
  <c r="I492" i="16"/>
  <c r="C493" i="16" s="1"/>
  <c r="E493" i="16" l="1"/>
  <c r="H493" i="16"/>
  <c r="J493" i="16" s="1"/>
  <c r="F493" i="16" l="1"/>
  <c r="G493" i="16" s="1"/>
  <c r="I493" i="16"/>
  <c r="C494" i="16" s="1"/>
  <c r="H494" i="16" l="1"/>
  <c r="J494" i="16" s="1"/>
  <c r="E494" i="16"/>
  <c r="I494" i="16" l="1"/>
  <c r="C495" i="16" s="1"/>
  <c r="F494" i="16"/>
  <c r="G494" i="16" s="1"/>
  <c r="H495" i="16" l="1"/>
  <c r="J495" i="16" s="1"/>
  <c r="E495" i="16"/>
  <c r="I495" i="16" l="1"/>
  <c r="C496" i="16" s="1"/>
  <c r="F495" i="16"/>
  <c r="G495" i="16" s="1"/>
  <c r="E496" i="16" l="1"/>
  <c r="H496" i="16"/>
  <c r="J496" i="16" s="1"/>
  <c r="F496" i="16" l="1"/>
  <c r="G496" i="16" s="1"/>
  <c r="I496" i="16"/>
  <c r="C497" i="16" s="1"/>
  <c r="J8" i="16" l="1"/>
  <c r="J9" i="16"/>
  <c r="H497" i="16"/>
  <c r="J497" i="16" s="1"/>
  <c r="E497" i="16"/>
  <c r="I497" i="16" l="1"/>
  <c r="J7" i="16" s="1"/>
  <c r="F497" i="16"/>
  <c r="G497" i="16" s="1"/>
  <c r="P62" i="4" l="1"/>
  <c r="E46" i="5" l="1"/>
  <c r="X41" i="4" l="1"/>
  <c r="V41" i="4"/>
  <c r="T41" i="4"/>
  <c r="R41" i="4"/>
  <c r="N49" i="3" l="1"/>
  <c r="P49" i="3" s="1"/>
  <c r="R49" i="3" s="1"/>
  <c r="T49" i="3" s="1"/>
  <c r="V49" i="3" s="1"/>
  <c r="N37" i="3"/>
  <c r="P37" i="3" s="1"/>
  <c r="R37" i="3" s="1"/>
  <c r="T37" i="3" s="1"/>
  <c r="V37" i="3" s="1"/>
  <c r="N29" i="3"/>
  <c r="P45" i="3"/>
  <c r="R45" i="3" s="1"/>
  <c r="T45" i="3" s="1"/>
  <c r="V45" i="3" s="1"/>
  <c r="S23" i="8" l="1"/>
  <c r="R23" i="8"/>
  <c r="O46" i="9" l="1"/>
  <c r="M46" i="9"/>
  <c r="K46" i="9"/>
  <c r="I46" i="9"/>
  <c r="G46" i="9"/>
  <c r="O41" i="9"/>
  <c r="M41" i="9"/>
  <c r="K41" i="9"/>
  <c r="I41" i="9"/>
  <c r="G41" i="9"/>
  <c r="R32" i="8"/>
  <c r="Q32" i="8"/>
  <c r="Q31" i="8"/>
  <c r="S34" i="8"/>
  <c r="O51" i="9" l="1"/>
  <c r="K51" i="9"/>
  <c r="G51" i="9"/>
  <c r="I51" i="9"/>
  <c r="M51" i="9"/>
  <c r="P16" i="4" l="1"/>
  <c r="P71" i="3" l="1"/>
  <c r="R71" i="3" s="1"/>
  <c r="T71" i="3" s="1"/>
  <c r="V71" i="3" s="1"/>
  <c r="O13" i="5" l="1"/>
  <c r="M13" i="5"/>
  <c r="K13" i="5"/>
  <c r="I13" i="5"/>
  <c r="G13" i="5"/>
  <c r="M25" i="5"/>
  <c r="M24" i="5"/>
  <c r="M23" i="5"/>
  <c r="M22" i="5"/>
  <c r="K25" i="5"/>
  <c r="K24" i="5"/>
  <c r="K23" i="5"/>
  <c r="K22" i="5"/>
  <c r="I25" i="5"/>
  <c r="I24" i="5"/>
  <c r="I23" i="5"/>
  <c r="I22" i="5"/>
  <c r="G25" i="5"/>
  <c r="G24" i="5"/>
  <c r="G23" i="5"/>
  <c r="G22" i="5"/>
  <c r="O25" i="5"/>
  <c r="O24" i="5"/>
  <c r="O23" i="5"/>
  <c r="O22" i="5"/>
  <c r="E24" i="5"/>
  <c r="E23" i="5"/>
  <c r="E22" i="5"/>
  <c r="O11" i="5" l="1"/>
  <c r="O41" i="5"/>
  <c r="O18" i="5" s="1"/>
  <c r="O30" i="5"/>
  <c r="S33" i="8"/>
  <c r="S18" i="8"/>
  <c r="S16" i="8"/>
  <c r="R18" i="8"/>
  <c r="Q19" i="8"/>
  <c r="Q18" i="8"/>
  <c r="P19" i="8"/>
  <c r="P18" i="8"/>
  <c r="O19" i="8"/>
  <c r="O18" i="8"/>
  <c r="P15" i="4" l="1"/>
  <c r="O49" i="9"/>
  <c r="O50" i="9" s="1"/>
  <c r="V15" i="4"/>
  <c r="M49" i="9"/>
  <c r="M50" i="9" s="1"/>
  <c r="K49" i="9"/>
  <c r="K50" i="9" s="1"/>
  <c r="R15" i="4"/>
  <c r="I49" i="9"/>
  <c r="I50" i="9" s="1"/>
  <c r="G49" i="9"/>
  <c r="O33" i="9"/>
  <c r="M33" i="9"/>
  <c r="K33" i="9"/>
  <c r="I33" i="9"/>
  <c r="I20" i="9"/>
  <c r="G20" i="9"/>
  <c r="K10" i="9"/>
  <c r="I10" i="9"/>
  <c r="G10" i="9"/>
  <c r="O10" i="9"/>
  <c r="M10" i="9"/>
  <c r="O15" i="9"/>
  <c r="M15" i="9"/>
  <c r="K15" i="9"/>
  <c r="I15" i="9"/>
  <c r="G15" i="9"/>
  <c r="O25" i="9"/>
  <c r="M25" i="9"/>
  <c r="K25" i="9"/>
  <c r="I25" i="9"/>
  <c r="G25" i="9"/>
  <c r="G50" i="9" l="1"/>
  <c r="N48" i="3"/>
  <c r="T15" i="4"/>
  <c r="X15" i="4"/>
  <c r="E49" i="9"/>
  <c r="E33" i="9"/>
  <c r="E15" i="9" l="1"/>
  <c r="E46" i="9"/>
  <c r="E41" i="9"/>
  <c r="E30" i="9"/>
  <c r="E25" i="9"/>
  <c r="E20" i="9"/>
  <c r="E51" i="9" l="1"/>
  <c r="L15" i="4" s="1"/>
  <c r="E50" i="9" l="1"/>
  <c r="X17" i="4"/>
  <c r="V17" i="4"/>
  <c r="T17" i="4"/>
  <c r="R17" i="4"/>
  <c r="L57" i="4" l="1"/>
  <c r="L41" i="4" l="1"/>
  <c r="T23" i="4" l="1"/>
  <c r="V23" i="4" s="1"/>
  <c r="X23" i="4" s="1"/>
  <c r="P17" i="4"/>
  <c r="X16" i="4"/>
  <c r="V16" i="4"/>
  <c r="T16" i="4"/>
  <c r="R16" i="4"/>
  <c r="L69" i="4" l="1"/>
  <c r="L59" i="4"/>
  <c r="L31" i="4"/>
  <c r="O22" i="8" l="1"/>
  <c r="Q23" i="8"/>
  <c r="P23" i="8"/>
  <c r="M36" i="8" l="1"/>
  <c r="G17" i="8"/>
  <c r="G16" i="8"/>
  <c r="G15" i="8"/>
  <c r="R15" i="8" l="1"/>
  <c r="Q15" i="8"/>
  <c r="O15" i="8"/>
  <c r="P15" i="8"/>
  <c r="S15" i="8"/>
  <c r="P16" i="8"/>
  <c r="Q16" i="8"/>
  <c r="O16" i="8"/>
  <c r="R16" i="8"/>
  <c r="O17" i="8"/>
  <c r="P17" i="8"/>
  <c r="G10" i="8"/>
  <c r="G9" i="8"/>
  <c r="G8" i="8"/>
  <c r="N81" i="3" l="1"/>
  <c r="P81" i="3"/>
  <c r="R81" i="3" s="1"/>
  <c r="L83" i="3"/>
  <c r="L84" i="3" s="1"/>
  <c r="L74" i="3"/>
  <c r="L85" i="3" l="1"/>
  <c r="L56" i="3"/>
  <c r="L35" i="3"/>
  <c r="L30" i="3"/>
  <c r="C55" i="9" l="1"/>
  <c r="C56" i="9"/>
  <c r="C54" i="9"/>
  <c r="C46" i="9"/>
  <c r="C41" i="9"/>
  <c r="C51" i="9"/>
  <c r="C50" i="9" s="1"/>
  <c r="C49" i="9"/>
  <c r="C40" i="9"/>
  <c r="C45" i="9"/>
  <c r="C44" i="9"/>
  <c r="C39" i="9" l="1"/>
  <c r="C34" i="9"/>
  <c r="C35" i="9"/>
  <c r="C29" i="9"/>
  <c r="C28" i="9"/>
  <c r="C33" i="9"/>
  <c r="C24" i="9"/>
  <c r="C23" i="9"/>
  <c r="C13" i="9"/>
  <c r="C14" i="9" s="1"/>
  <c r="C8" i="9"/>
  <c r="C9" i="9"/>
  <c r="O48" i="12" l="1"/>
  <c r="M48" i="12"/>
  <c r="K48" i="12"/>
  <c r="I48" i="12"/>
  <c r="G48" i="12"/>
  <c r="E48" i="12"/>
  <c r="C48" i="12"/>
  <c r="O30" i="9" l="1"/>
  <c r="M30" i="9"/>
  <c r="K30" i="9"/>
  <c r="I30" i="9"/>
  <c r="G30" i="9"/>
  <c r="E54" i="9"/>
  <c r="O20" i="9"/>
  <c r="M20" i="9"/>
  <c r="K20" i="9"/>
  <c r="E10" i="9"/>
  <c r="E35" i="9" s="1"/>
  <c r="L14" i="4" l="1"/>
  <c r="L19" i="4" s="1"/>
  <c r="E34" i="9"/>
  <c r="E56" i="9"/>
  <c r="E55" i="9" s="1"/>
  <c r="G54" i="9"/>
  <c r="K54" i="9"/>
  <c r="O54" i="9"/>
  <c r="I54" i="9"/>
  <c r="M54" i="9"/>
  <c r="L32" i="4" l="1"/>
  <c r="L75" i="4" l="1"/>
  <c r="L76" i="4"/>
  <c r="J37" i="4"/>
  <c r="J18" i="4"/>
  <c r="J29" i="3"/>
  <c r="C12" i="5" l="1"/>
  <c r="J15" i="4"/>
  <c r="J70" i="3" l="1"/>
  <c r="J26" i="3"/>
  <c r="J41" i="3"/>
  <c r="J48" i="3"/>
  <c r="X8" i="4" l="1"/>
  <c r="V8" i="4"/>
  <c r="T8" i="4"/>
  <c r="R8" i="4"/>
  <c r="P29" i="3" l="1"/>
  <c r="R29" i="3" s="1"/>
  <c r="T29" i="3" s="1"/>
  <c r="V29" i="3" s="1"/>
  <c r="J27" i="3" l="1"/>
  <c r="C38" i="5" l="1"/>
  <c r="C11" i="5" l="1"/>
  <c r="J46" i="4" l="1"/>
  <c r="J48" i="4"/>
  <c r="J62" i="4"/>
  <c r="J61" i="4"/>
  <c r="J58" i="4"/>
  <c r="J22" i="4" l="1"/>
  <c r="J9" i="4"/>
  <c r="J35" i="4" l="1"/>
  <c r="J55" i="4"/>
  <c r="J53" i="4"/>
  <c r="J68" i="4"/>
  <c r="J57" i="4"/>
  <c r="J43" i="4"/>
  <c r="J29" i="4"/>
  <c r="J13" i="4"/>
  <c r="J38" i="4"/>
  <c r="J12" i="4" l="1"/>
  <c r="J14" i="4"/>
  <c r="J17" i="4" l="1"/>
  <c r="J52" i="4" l="1"/>
  <c r="J42" i="4"/>
  <c r="J56" i="4"/>
  <c r="J50" i="4"/>
  <c r="J24" i="4"/>
  <c r="C32" i="5" l="1"/>
  <c r="S13" i="8"/>
  <c r="R13" i="8"/>
  <c r="Q13" i="8"/>
  <c r="P13" i="8"/>
  <c r="S31" i="8" l="1"/>
  <c r="R31" i="8"/>
  <c r="M11" i="5"/>
  <c r="K11" i="5"/>
  <c r="I11" i="5"/>
  <c r="P79" i="3" s="1"/>
  <c r="R79" i="3" l="1"/>
  <c r="T79" i="3" s="1"/>
  <c r="V79" i="3" s="1"/>
  <c r="S22" i="8"/>
  <c r="R22" i="8"/>
  <c r="Q22" i="8"/>
  <c r="P22" i="8"/>
  <c r="O12" i="8" l="1"/>
  <c r="O7" i="8"/>
  <c r="O6" i="8"/>
  <c r="C25" i="5" l="1"/>
  <c r="C24" i="5"/>
  <c r="C23" i="5"/>
  <c r="J45" i="3"/>
  <c r="C8" i="5"/>
  <c r="M41" i="5"/>
  <c r="M18" i="5" s="1"/>
  <c r="M30" i="5"/>
  <c r="P54" i="3"/>
  <c r="R54" i="3" s="1"/>
  <c r="T54" i="3" s="1"/>
  <c r="V54" i="3" s="1"/>
  <c r="P41" i="3"/>
  <c r="R41" i="3" s="1"/>
  <c r="T41" i="3" s="1"/>
  <c r="V41" i="3" s="1"/>
  <c r="C13" i="5" l="1"/>
  <c r="J25" i="4" l="1"/>
  <c r="C27" i="5" l="1"/>
  <c r="C22" i="5"/>
  <c r="J41" i="4"/>
  <c r="C14" i="5" l="1"/>
  <c r="O11" i="8" l="1"/>
  <c r="O14" i="8"/>
  <c r="H83" i="3" l="1"/>
  <c r="H84" i="3" s="1"/>
  <c r="H73" i="3"/>
  <c r="H72" i="3"/>
  <c r="H48" i="3"/>
  <c r="H46" i="3"/>
  <c r="H41" i="3"/>
  <c r="H35" i="3"/>
  <c r="H29" i="3"/>
  <c r="H27" i="3"/>
  <c r="H26" i="3"/>
  <c r="F83" i="3"/>
  <c r="F84" i="3" s="1"/>
  <c r="F73" i="3"/>
  <c r="F72" i="3"/>
  <c r="F54" i="3"/>
  <c r="F53" i="3"/>
  <c r="F49" i="3"/>
  <c r="F48" i="3"/>
  <c r="F46" i="3"/>
  <c r="F41" i="3"/>
  <c r="F33" i="3"/>
  <c r="F35" i="3" s="1"/>
  <c r="F29" i="3"/>
  <c r="F30" i="3" s="1"/>
  <c r="F27" i="3"/>
  <c r="F24" i="3"/>
  <c r="F56" i="3" l="1"/>
  <c r="F57" i="3" s="1"/>
  <c r="F39" i="3"/>
  <c r="H30" i="3"/>
  <c r="H39" i="3" s="1"/>
  <c r="H56" i="3"/>
  <c r="H57" i="3" s="1"/>
  <c r="H74" i="3"/>
  <c r="H85" i="3" s="1"/>
  <c r="F74" i="3"/>
  <c r="F85" i="3" s="1"/>
  <c r="F89" i="3" l="1"/>
  <c r="H89" i="3"/>
  <c r="H93" i="3" l="1"/>
  <c r="H96" i="3"/>
  <c r="F93" i="3"/>
  <c r="F94" i="3"/>
  <c r="F90" i="3"/>
  <c r="H90" i="3"/>
  <c r="H94" i="3" s="1"/>
  <c r="P51" i="3" l="1"/>
  <c r="R51" i="3" s="1"/>
  <c r="T51" i="3" s="1"/>
  <c r="V51" i="3" s="1"/>
  <c r="S32" i="8" l="1"/>
  <c r="S4" i="8" l="1"/>
  <c r="R4" i="8"/>
  <c r="Q4" i="8"/>
  <c r="P4" i="8"/>
  <c r="O4" i="8"/>
  <c r="Q37" i="8" l="1"/>
  <c r="T68" i="4" s="1"/>
  <c r="K27" i="5" s="1"/>
  <c r="P37" i="8"/>
  <c r="R68" i="4" s="1"/>
  <c r="I27" i="5" s="1"/>
  <c r="V68" i="4"/>
  <c r="M27" i="5" s="1"/>
  <c r="S37" i="8"/>
  <c r="X68" i="4" s="1"/>
  <c r="O27" i="5" s="1"/>
  <c r="G13" i="8" l="1"/>
  <c r="O37" i="8" l="1"/>
  <c r="P68" i="4" l="1"/>
  <c r="G27" i="5" s="1"/>
  <c r="E13" i="8"/>
  <c r="J59" i="4" l="1"/>
  <c r="J69" i="4"/>
  <c r="X59" i="4" l="1"/>
  <c r="X47" i="4"/>
  <c r="O21" i="5" s="1"/>
  <c r="V59" i="4"/>
  <c r="V47" i="4"/>
  <c r="M21" i="5" s="1"/>
  <c r="T59" i="4"/>
  <c r="T47" i="4"/>
  <c r="K21" i="5" s="1"/>
  <c r="R59" i="4"/>
  <c r="R47" i="4"/>
  <c r="I21" i="5" s="1"/>
  <c r="O28" i="5" l="1"/>
  <c r="J47" i="4" l="1"/>
  <c r="J70" i="4" s="1"/>
  <c r="C21" i="5" l="1"/>
  <c r="J74" i="3"/>
  <c r="J30" i="3"/>
  <c r="C15" i="5"/>
  <c r="K41" i="5"/>
  <c r="K18" i="5" s="1"/>
  <c r="G41" i="5" l="1"/>
  <c r="G18" i="5" s="1"/>
  <c r="I41" i="5"/>
  <c r="I18" i="5" s="1"/>
  <c r="E41" i="5" l="1"/>
  <c r="E18" i="5" s="1"/>
  <c r="H19" i="4" l="1"/>
  <c r="H31" i="4"/>
  <c r="H69" i="4"/>
  <c r="H59" i="4"/>
  <c r="H32" i="4" l="1"/>
  <c r="H47" i="4"/>
  <c r="H70" i="4" s="1"/>
  <c r="H73" i="4" s="1"/>
  <c r="H76" i="4" l="1"/>
  <c r="H75" i="4"/>
  <c r="H71" i="4"/>
  <c r="H97" i="3" s="1"/>
  <c r="H98" i="3" s="1"/>
  <c r="P47" i="4"/>
  <c r="G21" i="5" s="1"/>
  <c r="I28" i="5" l="1"/>
  <c r="D72" i="3" l="1"/>
  <c r="B83" i="3"/>
  <c r="B84" i="3" s="1"/>
  <c r="D83" i="3"/>
  <c r="D84" i="3" s="1"/>
  <c r="D73" i="3"/>
  <c r="B72" i="3"/>
  <c r="B74" i="3" s="1"/>
  <c r="D48" i="3"/>
  <c r="B48" i="3"/>
  <c r="D46" i="3"/>
  <c r="B46" i="3"/>
  <c r="B28" i="3"/>
  <c r="D28" i="3"/>
  <c r="D35" i="3"/>
  <c r="B35" i="3"/>
  <c r="D29" i="3"/>
  <c r="B29" i="3"/>
  <c r="D27" i="3"/>
  <c r="B27" i="3"/>
  <c r="D56" i="3" l="1"/>
  <c r="B56" i="3"/>
  <c r="D30" i="3"/>
  <c r="D39" i="3" s="1"/>
  <c r="B30" i="3"/>
  <c r="B39" i="3" s="1"/>
  <c r="D74" i="3"/>
  <c r="D85" i="3" s="1"/>
  <c r="B85" i="3"/>
  <c r="B57" i="3" l="1"/>
  <c r="B89" i="3" s="1"/>
  <c r="D57" i="3"/>
  <c r="B90" i="3" l="1"/>
  <c r="B93" i="3"/>
  <c r="B94" i="3"/>
  <c r="D96" i="3"/>
  <c r="D89" i="3"/>
  <c r="P59" i="4"/>
  <c r="F96" i="3" l="1"/>
  <c r="D93" i="3"/>
  <c r="D90" i="3"/>
  <c r="D94" i="3" s="1"/>
  <c r="J19" i="4" l="1"/>
  <c r="J31" i="4"/>
  <c r="J32" i="4" s="1"/>
  <c r="J76" i="4" l="1"/>
  <c r="J75" i="4"/>
  <c r="J73" i="4"/>
  <c r="J71" i="4" l="1"/>
  <c r="J97" i="3" s="1"/>
  <c r="D69" i="4" l="1"/>
  <c r="F69" i="4"/>
  <c r="B69" i="4"/>
  <c r="B59" i="4"/>
  <c r="F47" i="4"/>
  <c r="B47" i="4"/>
  <c r="F59" i="4"/>
  <c r="D59" i="4"/>
  <c r="D47" i="4"/>
  <c r="D70" i="4" l="1"/>
  <c r="F70" i="4"/>
  <c r="B70" i="4"/>
  <c r="T74" i="3" l="1"/>
  <c r="V74" i="3"/>
  <c r="F19" i="4"/>
  <c r="F73" i="4" s="1"/>
  <c r="F31" i="4"/>
  <c r="B31" i="4"/>
  <c r="D19" i="4"/>
  <c r="D73" i="4" s="1"/>
  <c r="D31" i="4"/>
  <c r="B19" i="4"/>
  <c r="B73" i="4" s="1"/>
  <c r="F32" i="4" l="1"/>
  <c r="B32" i="4"/>
  <c r="D32" i="4"/>
  <c r="F71" i="4" l="1"/>
  <c r="F97" i="3" s="1"/>
  <c r="F98" i="3" s="1"/>
  <c r="F76" i="4"/>
  <c r="F75" i="4"/>
  <c r="D71" i="4"/>
  <c r="D98" i="3" s="1"/>
  <c r="D76" i="4"/>
  <c r="D75" i="4"/>
  <c r="B71" i="4"/>
  <c r="B76" i="4"/>
  <c r="B75" i="4"/>
  <c r="R74" i="3"/>
  <c r="N74" i="3"/>
  <c r="P74" i="3"/>
  <c r="N83" i="3" l="1"/>
  <c r="N84" i="3" s="1"/>
  <c r="N85" i="3" s="1"/>
  <c r="P83" i="3"/>
  <c r="P84" i="3" s="1"/>
  <c r="P85" i="3" s="1"/>
  <c r="R83" i="3" l="1"/>
  <c r="R84" i="3" s="1"/>
  <c r="R85" i="3" s="1"/>
  <c r="T81" i="3"/>
  <c r="J83" i="3"/>
  <c r="J84" i="3" s="1"/>
  <c r="J35" i="3"/>
  <c r="T83" i="3" l="1"/>
  <c r="T84" i="3" s="1"/>
  <c r="T85" i="3" s="1"/>
  <c r="V83" i="3"/>
  <c r="V84" i="3" s="1"/>
  <c r="V85" i="3" s="1"/>
  <c r="R30" i="3"/>
  <c r="P30" i="3"/>
  <c r="N30" i="3"/>
  <c r="J85" i="3"/>
  <c r="V30" i="3" l="1"/>
  <c r="T30" i="3"/>
  <c r="J56" i="3" l="1"/>
  <c r="C41" i="5"/>
  <c r="C18" i="5" s="1"/>
  <c r="C28" i="5" s="1"/>
  <c r="C29" i="5" s="1"/>
  <c r="C33" i="5" l="1"/>
  <c r="J17" i="3"/>
  <c r="J39" i="3" s="1"/>
  <c r="J57" i="3" s="1"/>
  <c r="J89" i="3" s="1"/>
  <c r="E8" i="5"/>
  <c r="J96" i="3" l="1"/>
  <c r="J98" i="3" s="1"/>
  <c r="J92" i="3"/>
  <c r="J90" i="3"/>
  <c r="J94" i="3" s="1"/>
  <c r="J93" i="3"/>
  <c r="G28" i="5"/>
  <c r="E32" i="5" l="1"/>
  <c r="G32" i="5" s="1"/>
  <c r="I32" i="5" l="1"/>
  <c r="N34" i="3"/>
  <c r="N33" i="3"/>
  <c r="G14" i="5" l="1"/>
  <c r="N35" i="3"/>
  <c r="P34" i="3"/>
  <c r="P33" i="3"/>
  <c r="I14" i="5" l="1"/>
  <c r="P35" i="3"/>
  <c r="R31" i="4" l="1"/>
  <c r="G35" i="9" l="1"/>
  <c r="I35" i="9"/>
  <c r="I56" i="9" s="1"/>
  <c r="I55" i="9" s="1"/>
  <c r="K35" i="9"/>
  <c r="K56" i="9" s="1"/>
  <c r="K55" i="9" s="1"/>
  <c r="M35" i="9"/>
  <c r="M56" i="9" s="1"/>
  <c r="M55" i="9" s="1"/>
  <c r="O35" i="9"/>
  <c r="O56" i="9" s="1"/>
  <c r="O55" i="9" s="1"/>
  <c r="G56" i="9" l="1"/>
  <c r="G55" i="9" s="1"/>
  <c r="P14" i="4"/>
  <c r="G12" i="5" s="1"/>
  <c r="X14" i="4"/>
  <c r="O12" i="5" s="1"/>
  <c r="O34" i="9"/>
  <c r="M34" i="9"/>
  <c r="V14" i="4"/>
  <c r="M12" i="5" s="1"/>
  <c r="K34" i="9"/>
  <c r="T14" i="4"/>
  <c r="K12" i="5" s="1"/>
  <c r="R14" i="4"/>
  <c r="I12" i="5" s="1"/>
  <c r="I34" i="9"/>
  <c r="G34" i="9"/>
  <c r="X19" i="4" l="1"/>
  <c r="V19" i="4"/>
  <c r="I15" i="5"/>
  <c r="T19" i="4"/>
  <c r="R19" i="4"/>
  <c r="E15" i="5"/>
  <c r="P19" i="4"/>
  <c r="R32" i="4" l="1"/>
  <c r="R76" i="4" l="1"/>
  <c r="R75" i="4"/>
  <c r="K32" i="5"/>
  <c r="R34" i="3" l="1"/>
  <c r="R33" i="3"/>
  <c r="K14" i="5" s="1"/>
  <c r="K28" i="5"/>
  <c r="R35" i="3" l="1"/>
  <c r="T31" i="4" l="1"/>
  <c r="T32" i="4" s="1"/>
  <c r="K15" i="5"/>
  <c r="T76" i="4" l="1"/>
  <c r="T75" i="4"/>
  <c r="M28" i="5"/>
  <c r="M32" i="5"/>
  <c r="O32" i="5" l="1"/>
  <c r="T34" i="3"/>
  <c r="T33" i="3"/>
  <c r="M14" i="5" s="1"/>
  <c r="T35" i="3" l="1"/>
  <c r="V34" i="3"/>
  <c r="V33" i="3"/>
  <c r="O14" i="5" s="1"/>
  <c r="V35" i="3" l="1"/>
  <c r="M15" i="5"/>
  <c r="V31" i="4"/>
  <c r="V32" i="4" s="1"/>
  <c r="V76" i="4" l="1"/>
  <c r="V75" i="4"/>
  <c r="O15" i="5"/>
  <c r="X31" i="4"/>
  <c r="X32" i="4" s="1"/>
  <c r="P31" i="4"/>
  <c r="P32" i="4" s="1"/>
  <c r="G15" i="5"/>
  <c r="X76" i="4" l="1"/>
  <c r="X75" i="4"/>
  <c r="P76" i="4"/>
  <c r="P75" i="4"/>
  <c r="R69" i="4"/>
  <c r="R70" i="4" s="1"/>
  <c r="V69" i="4"/>
  <c r="V70" i="4" s="1"/>
  <c r="P69" i="4"/>
  <c r="P70" i="4" s="1"/>
  <c r="T69" i="4"/>
  <c r="T70" i="4" s="1"/>
  <c r="X69" i="4"/>
  <c r="X70" i="4" s="1"/>
  <c r="N56" i="3"/>
  <c r="T71" i="4" l="1"/>
  <c r="R97" i="3" s="1"/>
  <c r="T74" i="4"/>
  <c r="P71" i="4"/>
  <c r="P74" i="4"/>
  <c r="R74" i="4"/>
  <c r="R71" i="4"/>
  <c r="P97" i="3" s="1"/>
  <c r="R56" i="3"/>
  <c r="X74" i="4"/>
  <c r="X71" i="4"/>
  <c r="V97" i="3" s="1"/>
  <c r="V74" i="4"/>
  <c r="V71" i="4"/>
  <c r="T97" i="3" s="1"/>
  <c r="P56" i="3"/>
  <c r="T56" i="3" l="1"/>
  <c r="V56" i="3"/>
  <c r="L70" i="4"/>
  <c r="L71" i="4" s="1"/>
  <c r="L97" i="3" s="1"/>
  <c r="E21" i="5"/>
  <c r="E28" i="5" s="1"/>
  <c r="E29" i="5" s="1"/>
  <c r="E33" i="5" l="1"/>
  <c r="L17" i="3"/>
  <c r="L39" i="3" s="1"/>
  <c r="L57" i="3" s="1"/>
  <c r="L89" i="3" s="1"/>
  <c r="G8" i="5"/>
  <c r="G29" i="5" s="1"/>
  <c r="L74" i="4"/>
  <c r="N17" i="3" l="1"/>
  <c r="G33" i="5"/>
  <c r="I8" i="5"/>
  <c r="I29" i="5" s="1"/>
  <c r="L92" i="3"/>
  <c r="I33" i="5" l="1"/>
  <c r="P17" i="3"/>
  <c r="K8" i="5"/>
  <c r="K29" i="5" s="1"/>
  <c r="L93" i="3"/>
  <c r="L90" i="3"/>
  <c r="L94" i="3" s="1"/>
  <c r="L96" i="3"/>
  <c r="L98" i="3" s="1"/>
  <c r="C30" i="5"/>
  <c r="C31" i="5" s="1"/>
  <c r="N39" i="3"/>
  <c r="N57" i="3" s="1"/>
  <c r="R17" i="3" l="1"/>
  <c r="K33" i="5"/>
  <c r="M8" i="5"/>
  <c r="M29" i="5" s="1"/>
  <c r="P39" i="3"/>
  <c r="P57" i="3" s="1"/>
  <c r="E30" i="5"/>
  <c r="E31" i="5" s="1"/>
  <c r="N92" i="3"/>
  <c r="N89" i="3"/>
  <c r="P92" i="3" l="1"/>
  <c r="P89" i="3"/>
  <c r="M33" i="5"/>
  <c r="M31" i="5"/>
  <c r="O8" i="5"/>
  <c r="O29" i="5" s="1"/>
  <c r="T17" i="3"/>
  <c r="N93" i="3"/>
  <c r="N90" i="3"/>
  <c r="N94" i="3" s="1"/>
  <c r="N96" i="3"/>
  <c r="N98" i="3" s="1"/>
  <c r="G30" i="5"/>
  <c r="G31" i="5" s="1"/>
  <c r="R39" i="3"/>
  <c r="R57" i="3" s="1"/>
  <c r="R92" i="3" l="1"/>
  <c r="R89" i="3"/>
  <c r="P96" i="3"/>
  <c r="P98" i="3" s="1"/>
  <c r="P93" i="3"/>
  <c r="P90" i="3"/>
  <c r="P94" i="3" s="1"/>
  <c r="T39" i="3"/>
  <c r="T57" i="3" s="1"/>
  <c r="I30" i="5"/>
  <c r="I31" i="5" s="1"/>
  <c r="O31" i="5"/>
  <c r="V17" i="3"/>
  <c r="O33" i="5"/>
  <c r="K30" i="5" l="1"/>
  <c r="K31" i="5" s="1"/>
  <c r="V39" i="3"/>
  <c r="V57" i="3" s="1"/>
  <c r="R93" i="3"/>
  <c r="R96" i="3"/>
  <c r="R98" i="3" s="1"/>
  <c r="R90" i="3"/>
  <c r="R94" i="3" s="1"/>
  <c r="T92" i="3"/>
  <c r="T89" i="3"/>
  <c r="T93" i="3" l="1"/>
  <c r="T90" i="3"/>
  <c r="T94" i="3" s="1"/>
  <c r="T96" i="3"/>
  <c r="T98" i="3" s="1"/>
  <c r="V92" i="3"/>
  <c r="V89" i="3"/>
  <c r="V96" i="3" l="1"/>
  <c r="V98" i="3" s="1"/>
  <c r="V93" i="3"/>
  <c r="V90" i="3"/>
  <c r="V94" i="3" s="1"/>
</calcChain>
</file>

<file path=xl/sharedStrings.xml><?xml version="1.0" encoding="utf-8"?>
<sst xmlns="http://schemas.openxmlformats.org/spreadsheetml/2006/main" count="476" uniqueCount="348">
  <si>
    <t>Assets</t>
  </si>
  <si>
    <t xml:space="preserve">   Current Assets</t>
  </si>
  <si>
    <t xml:space="preserve">      Cash &amp; Cash Equivalents</t>
  </si>
  <si>
    <t xml:space="preserve">               Petty Cash</t>
  </si>
  <si>
    <t xml:space="preserve">               Cash-HB-Operating</t>
  </si>
  <si>
    <t xml:space="preserve">               Cash-HB-Escrows</t>
  </si>
  <si>
    <t xml:space="preserve">               Cash-The First-Mortgages</t>
  </si>
  <si>
    <t xml:space="preserve">               Cash-FHLB-Demand Deposit Account</t>
  </si>
  <si>
    <t xml:space="preserve">               Cash-FHLB-Certificate of Deposit (3mo)</t>
  </si>
  <si>
    <t xml:space="preserve">      Cash Reserves</t>
  </si>
  <si>
    <t xml:space="preserve">               Cash-HB-Investment Mgmt Account</t>
  </si>
  <si>
    <t xml:space="preserve">               Cash-HB-Reserves Checking</t>
  </si>
  <si>
    <t xml:space="preserve">               Cash-HB-Escrowed Loan Program Payments</t>
  </si>
  <si>
    <t xml:space="preserve">               Cash - HB FA Award 12</t>
  </si>
  <si>
    <t xml:space="preserve">               Cash HB - FA Award 13</t>
  </si>
  <si>
    <t xml:space="preserve">            Total Cash Reserves</t>
  </si>
  <si>
    <t xml:space="preserve">      Accounts Receivable</t>
  </si>
  <si>
    <t xml:space="preserve">               Accounts Receivable</t>
  </si>
  <si>
    <t xml:space="preserve">            Total Accounts Receivable</t>
  </si>
  <si>
    <t xml:space="preserve">      Short-term Investments</t>
  </si>
  <si>
    <t xml:space="preserve">               Debt and Equity Securities - Equity Securities</t>
  </si>
  <si>
    <t xml:space="preserve">               Debt and Equity Securities - Fixed Income Securities</t>
  </si>
  <si>
    <t xml:space="preserve">            Total Short-term Investments</t>
  </si>
  <si>
    <t xml:space="preserve">      Prepaid Expenses</t>
  </si>
  <si>
    <t xml:space="preserve">      Security Deposits</t>
  </si>
  <si>
    <t xml:space="preserve">      Assets Held For Sale</t>
  </si>
  <si>
    <t xml:space="preserve">         Total Current Assets</t>
  </si>
  <si>
    <t xml:space="preserve">   Long-term Assets</t>
  </si>
  <si>
    <t xml:space="preserve">      Assets in Use</t>
  </si>
  <si>
    <t xml:space="preserve">      Allowance for Doubtful Accounts</t>
  </si>
  <si>
    <t xml:space="preserve">      A/R THU - Loans</t>
  </si>
  <si>
    <t xml:space="preserve">      A/R Business Lending - Forgivable Loans</t>
  </si>
  <si>
    <t xml:space="preserve">      A/R Turtle Creek Lot Equity</t>
  </si>
  <si>
    <t xml:space="preserve">         Total Long-term Assets</t>
  </si>
  <si>
    <t xml:space="preserve">      Total Assets</t>
  </si>
  <si>
    <t>Liabilities</t>
  </si>
  <si>
    <t xml:space="preserve">   Short-term Liabilities</t>
  </si>
  <si>
    <t xml:space="preserve">      Accounts Payable</t>
  </si>
  <si>
    <t xml:space="preserve">               Payables - A/P General</t>
  </si>
  <si>
    <t xml:space="preserve">               Accrued Expenses</t>
  </si>
  <si>
    <t xml:space="preserve">               Due to Multi Financial Services</t>
  </si>
  <si>
    <t xml:space="preserve">      Escrows</t>
  </si>
  <si>
    <t xml:space="preserve">         Total Short-term Liabilities</t>
  </si>
  <si>
    <t xml:space="preserve">   Long-term Liabilities</t>
  </si>
  <si>
    <t xml:space="preserve">      Notes Payable</t>
  </si>
  <si>
    <t xml:space="preserve">               LT Note Payable</t>
  </si>
  <si>
    <t xml:space="preserve">            Total Notes Payable</t>
  </si>
  <si>
    <t xml:space="preserve">      Other Long-term Liabilities</t>
  </si>
  <si>
    <t xml:space="preserve">               LBSD Restricted Grant - Rental Subsidy</t>
  </si>
  <si>
    <t xml:space="preserve">               Unamortized Grant Payable Discount</t>
  </si>
  <si>
    <t xml:space="preserve">            Total Other Long-term Liabilities</t>
  </si>
  <si>
    <t xml:space="preserve">         Total Long-term Liabilities</t>
  </si>
  <si>
    <t xml:space="preserve">      Total Liabilities</t>
  </si>
  <si>
    <t>Net Assets</t>
  </si>
  <si>
    <t xml:space="preserve">         Total Net Assets</t>
  </si>
  <si>
    <t xml:space="preserve">      Total Net Assets</t>
  </si>
  <si>
    <t>Total Liabilities and Net Assets</t>
  </si>
  <si>
    <t>Revenues</t>
  </si>
  <si>
    <t xml:space="preserve">   Contributions</t>
  </si>
  <si>
    <t xml:space="preserve">   Donations</t>
  </si>
  <si>
    <t xml:space="preserve">   Program Income</t>
  </si>
  <si>
    <t xml:space="preserve">            Rent</t>
  </si>
  <si>
    <t xml:space="preserve">            Loan Servicing Fees</t>
  </si>
  <si>
    <t xml:space="preserve">            Other Income</t>
  </si>
  <si>
    <t xml:space="preserve">         Total Program Income</t>
  </si>
  <si>
    <t xml:space="preserve">      Total Revenues</t>
  </si>
  <si>
    <t>Expenditures</t>
  </si>
  <si>
    <t xml:space="preserve">         Total Salaries and Benefits</t>
  </si>
  <si>
    <t xml:space="preserve">   General and Administrative</t>
  </si>
  <si>
    <t xml:space="preserve">            Legal Fees</t>
  </si>
  <si>
    <t xml:space="preserve">            Professional Services</t>
  </si>
  <si>
    <t xml:space="preserve">            Rent expense</t>
  </si>
  <si>
    <t xml:space="preserve">            Advertising/Program Promotion</t>
  </si>
  <si>
    <t xml:space="preserve">         Total General and Administrative</t>
  </si>
  <si>
    <t xml:space="preserve">         Total Travel</t>
  </si>
  <si>
    <t xml:space="preserve">   Program</t>
  </si>
  <si>
    <t xml:space="preserve">            MyHome Mortgage Discount</t>
  </si>
  <si>
    <t xml:space="preserve">            Property Management</t>
  </si>
  <si>
    <t xml:space="preserve">            Housing Assistance Grants</t>
  </si>
  <si>
    <t xml:space="preserve">            Rental Home Expense</t>
  </si>
  <si>
    <t xml:space="preserve">         Total Program</t>
  </si>
  <si>
    <t xml:space="preserve">   Depreciation &amp; Other</t>
  </si>
  <si>
    <t xml:space="preserve">            Depreciation Expense</t>
  </si>
  <si>
    <t xml:space="preserve">            Insurance</t>
  </si>
  <si>
    <t xml:space="preserve">            Bank Charges</t>
  </si>
  <si>
    <t xml:space="preserve">            Loss on Foreclosures</t>
  </si>
  <si>
    <t xml:space="preserve">            Interest Expense</t>
  </si>
  <si>
    <t xml:space="preserve">         Total Depreciation &amp; Other</t>
  </si>
  <si>
    <t xml:space="preserve">      Total Expenditures</t>
  </si>
  <si>
    <t>Change in Net Assets</t>
  </si>
  <si>
    <t>2015</t>
  </si>
  <si>
    <t>2014</t>
  </si>
  <si>
    <t xml:space="preserve">               Accounts Payable</t>
  </si>
  <si>
    <t xml:space="preserve">               Debt Issuance Costs</t>
  </si>
  <si>
    <t xml:space="preserve">            SBA Loan Fees</t>
  </si>
  <si>
    <t xml:space="preserve">               Due from Affiliates</t>
  </si>
  <si>
    <t xml:space="preserve">               Other Receivables</t>
  </si>
  <si>
    <t xml:space="preserve">      A/R MyHome Mortgage</t>
  </si>
  <si>
    <t xml:space="preserve">      A/R Forgivable Loans - Housing</t>
  </si>
  <si>
    <t xml:space="preserve">      A/R Business Lending Loans</t>
  </si>
  <si>
    <t xml:space="preserve">      ST Note Payable</t>
  </si>
  <si>
    <t xml:space="preserve">      Accrued Payroll Expenses</t>
  </si>
  <si>
    <t xml:space="preserve">      Other Accrued Expenses</t>
  </si>
  <si>
    <t xml:space="preserve">   Grant Revenue</t>
  </si>
  <si>
    <t xml:space="preserve">   Other Revenues</t>
  </si>
  <si>
    <t xml:space="preserve">         Total Other Revenues</t>
  </si>
  <si>
    <t xml:space="preserve">            Accounting/Auditing Fees</t>
  </si>
  <si>
    <t xml:space="preserve">            Other General and Administrative Expenses</t>
  </si>
  <si>
    <t xml:space="preserve">            Forgivable Loans Amortized Expense</t>
  </si>
  <si>
    <t xml:space="preserve">            Other Program Expenses</t>
  </si>
  <si>
    <t xml:space="preserve">            MHMC Refinance Program Costs</t>
  </si>
  <si>
    <t>Statement of Revenues and Expenditures</t>
  </si>
  <si>
    <t>Balance Sheet</t>
  </si>
  <si>
    <t>Actual</t>
  </si>
  <si>
    <t>2013</t>
  </si>
  <si>
    <t>2016</t>
  </si>
  <si>
    <t>2017</t>
  </si>
  <si>
    <t>2018</t>
  </si>
  <si>
    <t xml:space="preserve">            Other Expense</t>
  </si>
  <si>
    <t xml:space="preserve">      A/R Green Loan Fund/Ready Loan Fund</t>
  </si>
  <si>
    <t>Beginning Cash Balance</t>
  </si>
  <si>
    <t>Add:</t>
  </si>
  <si>
    <t xml:space="preserve">  Grants</t>
  </si>
  <si>
    <t>Used:</t>
  </si>
  <si>
    <t xml:space="preserve">  Personnel and Administrative</t>
  </si>
  <si>
    <t xml:space="preserve">  Other</t>
  </si>
  <si>
    <t xml:space="preserve">  Loan servicing payments</t>
  </si>
  <si>
    <t xml:space="preserve">  Travel</t>
  </si>
  <si>
    <t xml:space="preserve">  Property Management and Rental Home Expenses</t>
  </si>
  <si>
    <t>Total Cash used during year</t>
  </si>
  <si>
    <t>Ending Cash Balance</t>
  </si>
  <si>
    <t>Total Cash provided during the year</t>
  </si>
  <si>
    <t>2020</t>
  </si>
  <si>
    <t>2019</t>
  </si>
  <si>
    <t>1st Mortgage Portfolio Loans</t>
  </si>
  <si>
    <t>2nd Mortgage Portfolio Loans</t>
  </si>
  <si>
    <t>Ready Loan Fund</t>
  </si>
  <si>
    <t>Total Loans</t>
  </si>
  <si>
    <t xml:space="preserve">Cost of Funds </t>
  </si>
  <si>
    <t>Existing Debt</t>
  </si>
  <si>
    <t>New Debt</t>
  </si>
  <si>
    <t xml:space="preserve">  Loans made (funded)</t>
  </si>
  <si>
    <t xml:space="preserve">  Grants Received</t>
  </si>
  <si>
    <t xml:space="preserve">  Loan Payments/Fees  Received/Loan Sale Proceeds/House Sales</t>
  </si>
  <si>
    <t>Business Lending Loans - Funded</t>
  </si>
  <si>
    <t>Loan Goals</t>
  </si>
  <si>
    <t>Income Statement</t>
  </si>
  <si>
    <t>Budget</t>
  </si>
  <si>
    <t>Projections</t>
  </si>
  <si>
    <t xml:space="preserve">            Loan Fees - Housing</t>
  </si>
  <si>
    <t xml:space="preserve">            Loan Fees - Business</t>
  </si>
  <si>
    <t xml:space="preserve">            Loan Interest Income - Housing</t>
  </si>
  <si>
    <t xml:space="preserve">            Loan Interest Income - Business</t>
  </si>
  <si>
    <t>2021</t>
  </si>
  <si>
    <t xml:space="preserve">            Loss on Asset and Loan Sales</t>
  </si>
  <si>
    <t xml:space="preserve">            Professional Services - Lobbyists</t>
  </si>
  <si>
    <t>Debt Source</t>
  </si>
  <si>
    <t>#1</t>
  </si>
  <si>
    <t>#2</t>
  </si>
  <si>
    <t>#3</t>
  </si>
  <si>
    <t>#4</t>
  </si>
  <si>
    <t>#5</t>
  </si>
  <si>
    <t>#6</t>
  </si>
  <si>
    <t>Issuance Date</t>
  </si>
  <si>
    <t>Amount of Debt</t>
  </si>
  <si>
    <t>Payoff Date</t>
  </si>
  <si>
    <t>Interst Payments</t>
  </si>
  <si>
    <t>Term (Years)</t>
  </si>
  <si>
    <t>Rate</t>
  </si>
  <si>
    <t>#7</t>
  </si>
  <si>
    <t>Balance</t>
  </si>
  <si>
    <t xml:space="preserve">  Purchase Debt and Equity Securities</t>
  </si>
  <si>
    <t>Test - Hide</t>
  </si>
  <si>
    <t>Difference - Hide</t>
  </si>
  <si>
    <t>New Debt - 2019</t>
  </si>
  <si>
    <t>New Debt - 2020</t>
  </si>
  <si>
    <t>New Debt - 2021</t>
  </si>
  <si>
    <t>-</t>
  </si>
  <si>
    <t>Total</t>
  </si>
  <si>
    <t xml:space="preserve">            NMTC Fees</t>
  </si>
  <si>
    <t>NMTC</t>
  </si>
  <si>
    <t>New Investments</t>
  </si>
  <si>
    <t>Grants</t>
  </si>
  <si>
    <t>Projected</t>
  </si>
  <si>
    <t>Gain (Loss) on Asset Sales</t>
  </si>
  <si>
    <t>Gain (Loss) on sale of MYHOME Mortgages</t>
  </si>
  <si>
    <t>Loss on foreclosures</t>
  </si>
  <si>
    <t>Management Fee Income - Bridge</t>
  </si>
  <si>
    <t>New Debt - 2022</t>
  </si>
  <si>
    <t xml:space="preserve">               FHLB-Membership Capital Stock</t>
  </si>
  <si>
    <t>New Debt - 2018</t>
  </si>
  <si>
    <t xml:space="preserve">      A/R NW PRHO DPA</t>
  </si>
  <si>
    <t xml:space="preserve">            Bad Debt Expense/Recoveries</t>
  </si>
  <si>
    <t xml:space="preserve">      Deferred fees - NWPR</t>
  </si>
  <si>
    <t>2022</t>
  </si>
  <si>
    <t>PRNW DPA Loans</t>
  </si>
  <si>
    <t>Business Lending Forgivable Loans</t>
  </si>
  <si>
    <t>N/A</t>
  </si>
  <si>
    <t>Ending Debt &amp; Equity Securities Balance</t>
  </si>
  <si>
    <t>Total Cash and Securities</t>
  </si>
  <si>
    <t>Total Debt/Total Assets</t>
  </si>
  <si>
    <t>Total Debt/Total Net Assets</t>
  </si>
  <si>
    <t>SS Ratio - 2013-2017 (w/Non-Cash Impacts)</t>
  </si>
  <si>
    <t xml:space="preserve">            Property Taxes</t>
  </si>
  <si>
    <t xml:space="preserve">      A/R LT HW 2nd Mortgages</t>
  </si>
  <si>
    <t xml:space="preserve">      A/R LT Dream Mortgages</t>
  </si>
  <si>
    <t>$4.4M in new grants from multiple sources, some similar yet some new sources</t>
  </si>
  <si>
    <t>Schedule of Interest Bearing Assets</t>
  </si>
  <si>
    <t>1st Mortgages</t>
  </si>
  <si>
    <t>Forecast</t>
  </si>
  <si>
    <t>Average Balance</t>
  </si>
  <si>
    <t>Average Yield %</t>
  </si>
  <si>
    <t>Interest Income</t>
  </si>
  <si>
    <t>Business Lending</t>
  </si>
  <si>
    <t>Small Business Loans</t>
  </si>
  <si>
    <t>Commercial Loans</t>
  </si>
  <si>
    <t>Total Portfolio</t>
  </si>
  <si>
    <t>Total Housing Portfolio</t>
  </si>
  <si>
    <t>Total Business Lending Portfolio</t>
  </si>
  <si>
    <t>2023</t>
  </si>
  <si>
    <t>Events/Sponsorship</t>
  </si>
  <si>
    <t>Donations</t>
  </si>
  <si>
    <t xml:space="preserve">      Due from RCDE I &amp; II</t>
  </si>
  <si>
    <t>Renewed in 2023 for another 5 years</t>
  </si>
  <si>
    <t>New Debt - 2023</t>
  </si>
  <si>
    <t>SS Ratio - 2018-2023 (No Non-Cash Impacts)</t>
  </si>
  <si>
    <t xml:space="preserve">  Debt Closed and Drawn</t>
  </si>
  <si>
    <t>$4.0M in new 1st Mortgages held in portfolio; expect to sell at least $5M from the existing 1st mortgage portfolio to investors (at book value)</t>
  </si>
  <si>
    <t>$2.6M in new Business Loans</t>
  </si>
  <si>
    <t>$40k in new Ready Loan Fund loans; program expanded to include Home Improvement Loans that are not energy efficient or for improved insurance premiums</t>
  </si>
  <si>
    <t>2015/2016 Allocation will be deployed in 1Q 2019 ($10.5M)</t>
  </si>
  <si>
    <t>Average yield on 1st mortgage loans held in Portfolio will be increasing to 5.75% in 2019.</t>
  </si>
  <si>
    <t>Average yield on 2nd mortgage loans held in Portfolio will be increasing to 6.5% in 2019</t>
  </si>
  <si>
    <t xml:space="preserve">Close remaining NMTC allocation </t>
  </si>
  <si>
    <t>Normal Expenses will be similar to 2018 with an uptick in Interest Expense due to debt on building, plus higher building costs due to taxes/insurance, as well as the depreciation expense for the building</t>
  </si>
  <si>
    <t>$3.3M in existing debt from FHLB will be paid in 2019 from loan sales</t>
  </si>
  <si>
    <t>$2M in excess cash invested in a managed investment account/goal is to achieve 5-7% annualized return but Budget and Projections are projected to earn a conservative 3.25%-4.0% per annum starting in 2019</t>
  </si>
  <si>
    <t>2020-2023 Projections</t>
  </si>
  <si>
    <t>$12M in new debt over this period</t>
  </si>
  <si>
    <t>$26.6M in new loans originated/$13.0M in loans paid off/sold from portfolio during this period</t>
  </si>
  <si>
    <t>3.5-4% Earnings on Debt &amp; Equity Securities per annum</t>
  </si>
  <si>
    <t>Loan Amortization Schedule</t>
  </si>
  <si>
    <t>Enter values</t>
  </si>
  <si>
    <t>Loan summary</t>
  </si>
  <si>
    <t>Loan amount</t>
  </si>
  <si>
    <t>Scheduled payment</t>
  </si>
  <si>
    <t>Annual interest rate</t>
  </si>
  <si>
    <t>Scheduled number of payments</t>
  </si>
  <si>
    <t>Loan period in years</t>
  </si>
  <si>
    <t>Actual number of payments</t>
  </si>
  <si>
    <t>Number of payments per year</t>
  </si>
  <si>
    <t>Total early payments</t>
  </si>
  <si>
    <t>Start date of loan</t>
  </si>
  <si>
    <t>Total interest</t>
  </si>
  <si>
    <t>Optional extra payments</t>
  </si>
  <si>
    <t>Lender name:</t>
  </si>
  <si>
    <t>Pmt. No.</t>
  </si>
  <si>
    <t>Payment Date</t>
  </si>
  <si>
    <t>Beginning Balance</t>
  </si>
  <si>
    <t>Scheduled Payment</t>
  </si>
  <si>
    <t>Extra Payment</t>
  </si>
  <si>
    <t>Total Payment</t>
  </si>
  <si>
    <t>Principal</t>
  </si>
  <si>
    <t>Interest</t>
  </si>
  <si>
    <t>Ending Balance</t>
  </si>
  <si>
    <t>Cumulative Interest</t>
  </si>
  <si>
    <t>Other General and Administrative Expenses</t>
  </si>
  <si>
    <t>Miscellaneous Expenses</t>
  </si>
  <si>
    <t>Computer Services</t>
  </si>
  <si>
    <t>Office Expense</t>
  </si>
  <si>
    <t>Copying and Duplicating</t>
  </si>
  <si>
    <t>Supplies</t>
  </si>
  <si>
    <t>Donations/Pledges</t>
  </si>
  <si>
    <t>Telephone</t>
  </si>
  <si>
    <t>Postage</t>
  </si>
  <si>
    <t>Licensing &amp; Certification Fees</t>
  </si>
  <si>
    <t>Dues and Subscriptions</t>
  </si>
  <si>
    <t>Staff Development</t>
  </si>
  <si>
    <t>Meetings and Seminars</t>
  </si>
  <si>
    <t>0.8% in 2019/1.0% in 2020-2023</t>
  </si>
  <si>
    <t xml:space="preserve">  New Building/Land/FFE (Cash Portion)</t>
  </si>
  <si>
    <t>Total Net Assets/Total Assets</t>
  </si>
  <si>
    <t xml:space="preserve">      Fixed Assets </t>
  </si>
  <si>
    <t>Business loans yield projected to yield around 6.56% in 2019</t>
  </si>
  <si>
    <t xml:space="preserve">            Total Unrestricted Cash</t>
  </si>
  <si>
    <t>% of Revenue from Interest</t>
  </si>
  <si>
    <t>% of Revenue from Fees</t>
  </si>
  <si>
    <t>P&amp;E - Land/Construction in Progress</t>
  </si>
  <si>
    <t xml:space="preserve">      Contracts Payable</t>
  </si>
  <si>
    <t xml:space="preserve">            Annual Maintenance Costs</t>
  </si>
  <si>
    <t xml:space="preserve">            Annual Utilities Estimate </t>
  </si>
  <si>
    <t>MyHome Mortgage Discount Amortization</t>
  </si>
  <si>
    <t>Equity in Net Earnings of Affiliate</t>
  </si>
  <si>
    <t>FHLB Dividends</t>
  </si>
  <si>
    <t>Gain/Loss on Investment Securities</t>
  </si>
  <si>
    <t>Loan Servicing Revenue</t>
  </si>
  <si>
    <t>Renewed in 2023 for another 3 years</t>
  </si>
  <si>
    <t>Cash Flow Projections for 2019-2023</t>
  </si>
  <si>
    <t>$4.0M in new 1st Mortgages held in portfolio, with over $5M in new originations in 2019 (some sold to outside investors after closing)</t>
  </si>
  <si>
    <t>$0.5M in new 2nd Mortgages held in portfolio; this is the B Note for mortgages over 80% LTV</t>
  </si>
  <si>
    <t>$3.0M in new Business Loans</t>
  </si>
  <si>
    <t>2015/2016 Allocation fully deployed in May 2019 ($10.5M)</t>
  </si>
  <si>
    <t>Average yield on 1st mortgage loans held in Portfolio will remain close to 5.5% in 2019 due to interest rates declining more than expected.</t>
  </si>
  <si>
    <t>Average yield on 2nd mortgage loans held in Portfolio will be around 6% due to the declining interest rates in 2019.</t>
  </si>
  <si>
    <t>Business loans yield projected to yield around 6.3% due to the declining interest rates in 2019.</t>
  </si>
  <si>
    <t>$26.6M in new loans originated/$13.3M in loans paid off/sold from portfolio during this period</t>
  </si>
  <si>
    <t>None as the investment management account expected to be setup with Merrill Lynch did not close.  An account with an advisor is expected to be setup in 2020.</t>
  </si>
  <si>
    <t>xx Loan Fund</t>
  </si>
  <si>
    <t>XX Program</t>
  </si>
  <si>
    <t>XX 2nd Mortgages</t>
  </si>
  <si>
    <t>XXXX 2nd Mortgages</t>
  </si>
  <si>
    <t>XXX</t>
  </si>
  <si>
    <t>XXXX</t>
  </si>
  <si>
    <t>Total #2</t>
  </si>
  <si>
    <t>#8</t>
  </si>
  <si>
    <t>#9</t>
  </si>
  <si>
    <t>#10</t>
  </si>
  <si>
    <t>#11</t>
  </si>
  <si>
    <t>#13</t>
  </si>
  <si>
    <t>#12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</si>
  <si>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</si>
  <si>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</si>
  <si>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</si>
  <si>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</si>
  <si>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</si>
  <si>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</si>
  <si>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</si>
  <si>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</si>
  <si>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</si>
  <si>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#23</t>
  </si>
  <si>
    <t>#24</t>
  </si>
  <si>
    <t>#25</t>
  </si>
  <si>
    <t>#26</t>
  </si>
  <si>
    <t>#27</t>
  </si>
  <si>
    <t>#28</t>
  </si>
  <si>
    <t>#29</t>
  </si>
  <si>
    <t>#30</t>
  </si>
  <si>
    <t>#31</t>
  </si>
  <si>
    <t>#32</t>
  </si>
  <si>
    <t>#33</t>
  </si>
  <si>
    <t>#34</t>
  </si>
  <si>
    <t xml:space="preserve">  Loan payments made to Debt providers</t>
  </si>
  <si>
    <t>$0.5M in new 2nd Mortgages held in portfolio; this is the stub piece of new 1st Mortgages sold to Fannie Mae through xx</t>
  </si>
  <si>
    <t>$2.5M in new loans from a variety of lenders in 2019, and a draw down of the remaining $2.0M in remaining loan from xxxx</t>
  </si>
  <si>
    <t>$1.1M in grants received from various grantors</t>
  </si>
  <si>
    <t>Cost of Funds expected to rise due to repayment of the low cost xxxx debt in 2019 and supplementing this with new long term debt with an average 4.5%/annum</t>
  </si>
  <si>
    <t>$5.5M in new debt from a variety of lenders in 2019, and a draw down of the remaining $2.0M in remaining loan from XXXX</t>
  </si>
  <si>
    <t xml:space="preserve">               A/R ST Loan Receivables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</si>
</sst>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?%_)"/>
    <numFmt numFmtId="167" formatCode="0_)"/>
    <numFmt numFmtId="168" formatCode="_(* #,##0.0_);_(* \(#,##0.0\);_(* &quot;-&quot;??_);_(@_)"/>
  </numFmts>
  <fonts count="36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theme="1"/>
      <name val="Tahoma"/>
      <family val="2"/>
    </font>
    <font>
      <b/>
      <sz val="8"/>
      <color rgb="FF3F3F3F"/>
      <name val="Tahoma"/>
      <family val="2"/>
    </font>
    <font>
      <sz val="8"/>
      <color theme="3"/>
      <name val="Tahoma"/>
      <family val="2"/>
    </font>
    <font>
      <sz val="8"/>
      <color rgb="FFFF0000"/>
      <name val="Tahoma"/>
      <family val="2"/>
    </font>
    <font>
      <sz val="12"/>
      <color theme="1"/>
      <name val="Tahoma"/>
      <family val="2"/>
    </font>
    <font>
      <sz val="8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8"/>
      <name val="Calibri Light"/>
      <family val="2"/>
      <scheme val="major"/>
    </font>
    <font>
      <sz val="10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color rgb="FF3F3F76"/>
      <name val="Calibri"/>
      <family val="1"/>
      <scheme val="minor"/>
    </font>
    <font>
      <b/>
      <sz val="10"/>
      <color rgb="FFFA7D00"/>
      <name val="Calibri"/>
      <family val="1"/>
      <scheme val="minor"/>
    </font>
    <font>
      <b/>
      <sz val="10"/>
      <name val="Calibri"/>
      <family val="1"/>
      <scheme val="minor"/>
    </font>
    <font>
      <sz val="11"/>
      <color theme="1"/>
      <name val="Calibri"/>
      <family val="1"/>
      <scheme val="minor"/>
    </font>
    <font>
      <sz val="10"/>
      <color indexed="23"/>
      <name val="Calibri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</borders>
  <cellStyleXfs count="5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4" borderId="0" applyNumberFormat="0" applyBorder="0" applyAlignment="0" applyProtection="0"/>
    <xf numFmtId="0" fontId="10" fillId="5" borderId="4" applyNumberFormat="0" applyAlignment="0" applyProtection="0"/>
    <xf numFmtId="0" fontId="14" fillId="6" borderId="5" applyNumberFormat="0" applyAlignment="0" applyProtection="0"/>
    <xf numFmtId="0" fontId="5" fillId="6" borderId="4" applyNumberFormat="0" applyAlignment="0" applyProtection="0"/>
    <xf numFmtId="0" fontId="11" fillId="0" borderId="6" applyNumberFormat="0" applyFill="0" applyAlignment="0" applyProtection="0"/>
    <xf numFmtId="0" fontId="6" fillId="7" borderId="7" applyNumberFormat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5" fillId="0" borderId="0"/>
    <xf numFmtId="44" fontId="32" fillId="0" borderId="0" applyFont="0" applyFill="0" applyBorder="0" applyAlignment="0" applyProtection="0"/>
    <xf numFmtId="0" fontId="33" fillId="36" borderId="0" applyNumberFormat="0" applyBorder="0" applyAlignment="0" applyProtection="0"/>
    <xf numFmtId="0" fontId="34" fillId="5" borderId="4" applyNumberFormat="0" applyAlignment="0" applyProtection="0"/>
    <xf numFmtId="0" fontId="35" fillId="6" borderId="4" applyNumberFormat="0" applyAlignment="0" applyProtection="0"/>
  </cellStyleXfs>
  <cellXfs count="291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40" fontId="0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left" vertical="top" wrapText="1"/>
    </xf>
    <xf numFmtId="40" fontId="0" fillId="0" borderId="0" xfId="0" applyNumberFormat="1" applyFont="1" applyBorder="1" applyAlignment="1">
      <alignment horizontal="right" wrapText="1"/>
    </xf>
    <xf numFmtId="43" fontId="0" fillId="0" borderId="0" xfId="1" applyFont="1" applyAlignment="1">
      <alignment horizontal="left" wrapText="1"/>
    </xf>
    <xf numFmtId="43" fontId="0" fillId="0" borderId="0" xfId="1" applyFont="1" applyAlignment="1">
      <alignment horizontal="left" vertical="top" wrapText="1"/>
    </xf>
    <xf numFmtId="0" fontId="0" fillId="0" borderId="0" xfId="0" applyFill="1"/>
    <xf numFmtId="0" fontId="0" fillId="0" borderId="0" xfId="0"/>
    <xf numFmtId="40" fontId="0" fillId="0" borderId="0" xfId="0" applyNumberFormat="1" applyAlignment="1">
      <alignment horizontal="right" wrapText="1"/>
    </xf>
    <xf numFmtId="43" fontId="0" fillId="0" borderId="0" xfId="1" applyFont="1"/>
    <xf numFmtId="43" fontId="0" fillId="0" borderId="0" xfId="1" applyFont="1" applyAlignment="1">
      <alignment horizontal="right" wrapText="1"/>
    </xf>
    <xf numFmtId="43" fontId="13" fillId="0" borderId="0" xfId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40" fontId="0" fillId="0" borderId="0" xfId="0" applyNumberFormat="1" applyAlignment="1">
      <alignment horizontal="centerContinuous" wrapText="1"/>
    </xf>
    <xf numFmtId="0" fontId="20" fillId="0" borderId="0" xfId="0" applyFont="1" applyAlignment="1">
      <alignment horizontal="centerContinuous" wrapText="1"/>
    </xf>
    <xf numFmtId="0" fontId="0" fillId="0" borderId="0" xfId="0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/>
    <xf numFmtId="40" fontId="0" fillId="0" borderId="0" xfId="0" applyNumberFormat="1" applyAlignment="1">
      <alignment horizontal="right" wrapText="1"/>
    </xf>
    <xf numFmtId="38" fontId="0" fillId="0" borderId="0" xfId="0" applyNumberFormat="1" applyAlignment="1">
      <alignment horizontal="centerContinuous" wrapText="1"/>
    </xf>
    <xf numFmtId="38" fontId="0" fillId="0" borderId="0" xfId="0" applyNumberFormat="1" applyAlignment="1">
      <alignment horizontal="right" wrapText="1"/>
    </xf>
    <xf numFmtId="38" fontId="0" fillId="0" borderId="0" xfId="0" applyNumberFormat="1" applyFont="1" applyBorder="1" applyAlignment="1">
      <alignment horizontal="right" wrapText="1"/>
    </xf>
    <xf numFmtId="38" fontId="0" fillId="0" borderId="0" xfId="0" applyNumberFormat="1" applyFont="1" applyAlignment="1">
      <alignment horizontal="right" wrapText="1"/>
    </xf>
    <xf numFmtId="43" fontId="0" fillId="0" borderId="0" xfId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right" vertical="top" wrapText="1"/>
    </xf>
    <xf numFmtId="164" fontId="0" fillId="0" borderId="0" xfId="1" applyNumberFormat="1" applyFont="1" applyAlignment="1">
      <alignment horizontal="center" vertical="top" wrapText="1"/>
    </xf>
    <xf numFmtId="164" fontId="0" fillId="0" borderId="10" xfId="1" applyNumberFormat="1" applyFont="1" applyBorder="1" applyAlignment="1">
      <alignment horizontal="center" vertical="top" wrapText="1"/>
    </xf>
    <xf numFmtId="164" fontId="0" fillId="0" borderId="0" xfId="1" applyNumberFormat="1" applyFont="1" applyBorder="1" applyAlignment="1">
      <alignment horizontal="right" vertical="top" wrapText="1"/>
    </xf>
    <xf numFmtId="164" fontId="0" fillId="0" borderId="12" xfId="1" applyNumberFormat="1" applyFont="1" applyBorder="1" applyAlignment="1">
      <alignment horizontal="center" vertical="top" wrapText="1"/>
    </xf>
    <xf numFmtId="164" fontId="0" fillId="0" borderId="10" xfId="1" applyNumberFormat="1" applyFont="1" applyBorder="1" applyAlignment="1">
      <alignment horizontal="right" vertical="top" wrapText="1"/>
    </xf>
    <xf numFmtId="164" fontId="0" fillId="0" borderId="11" xfId="1" applyNumberFormat="1" applyFont="1" applyBorder="1" applyAlignment="1">
      <alignment horizontal="center" vertical="top" wrapText="1"/>
    </xf>
    <xf numFmtId="164" fontId="0" fillId="0" borderId="0" xfId="1" applyNumberFormat="1" applyFont="1" applyAlignment="1">
      <alignment horizontal="right" wrapText="1"/>
    </xf>
    <xf numFmtId="38" fontId="20" fillId="0" borderId="0" xfId="0" applyNumberFormat="1" applyFont="1" applyAlignment="1">
      <alignment horizontal="centerContinuous" wrapText="1"/>
    </xf>
    <xf numFmtId="38" fontId="20" fillId="0" borderId="14" xfId="0" quotePrefix="1" applyNumberFormat="1" applyFont="1" applyBorder="1" applyAlignment="1">
      <alignment horizontal="centerContinuous" wrapText="1"/>
    </xf>
    <xf numFmtId="38" fontId="0" fillId="0" borderId="11" xfId="0" applyNumberFormat="1" applyBorder="1" applyAlignment="1">
      <alignment horizontal="centerContinuous" wrapText="1"/>
    </xf>
    <xf numFmtId="38" fontId="0" fillId="0" borderId="15" xfId="0" applyNumberFormat="1" applyBorder="1" applyAlignment="1">
      <alignment horizontal="centerContinuous" wrapText="1"/>
    </xf>
    <xf numFmtId="38" fontId="0" fillId="33" borderId="0" xfId="0" applyNumberFormat="1" applyFill="1" applyAlignment="1">
      <alignment horizontal="right" wrapText="1"/>
    </xf>
    <xf numFmtId="38" fontId="20" fillId="0" borderId="13" xfId="0" quotePrefix="1" applyNumberFormat="1" applyFont="1" applyBorder="1" applyAlignment="1">
      <alignment horizontal="centerContinuous" wrapText="1"/>
    </xf>
    <xf numFmtId="38" fontId="19" fillId="0" borderId="10" xfId="1" quotePrefix="1" applyNumberFormat="1" applyFont="1" applyBorder="1" applyAlignment="1">
      <alignment horizontal="center" wrapText="1"/>
    </xf>
    <xf numFmtId="38" fontId="19" fillId="0" borderId="17" xfId="1" quotePrefix="1" applyNumberFormat="1" applyFont="1" applyBorder="1" applyAlignment="1">
      <alignment horizontal="center" wrapText="1"/>
    </xf>
    <xf numFmtId="38" fontId="19" fillId="33" borderId="10" xfId="1" applyNumberFormat="1" applyFont="1" applyFill="1" applyBorder="1" applyAlignment="1">
      <alignment horizontal="center" wrapText="1"/>
    </xf>
    <xf numFmtId="38" fontId="19" fillId="0" borderId="18" xfId="1" quotePrefix="1" applyNumberFormat="1" applyFont="1" applyBorder="1" applyAlignment="1">
      <alignment horizontal="center" wrapText="1"/>
    </xf>
    <xf numFmtId="38" fontId="2" fillId="0" borderId="20" xfId="1" applyNumberFormat="1" applyFont="1" applyBorder="1" applyAlignment="1">
      <alignment horizontal="right" wrapText="1"/>
    </xf>
    <xf numFmtId="38" fontId="2" fillId="0" borderId="24" xfId="1" applyNumberFormat="1" applyFont="1" applyBorder="1" applyAlignment="1">
      <alignment horizontal="right" wrapText="1"/>
    </xf>
    <xf numFmtId="38" fontId="2" fillId="0" borderId="0" xfId="1" applyNumberFormat="1" applyFont="1" applyAlignment="1">
      <alignment horizontal="right" wrapText="1"/>
    </xf>
    <xf numFmtId="38" fontId="2" fillId="0" borderId="22" xfId="1" applyNumberFormat="1" applyFont="1" applyBorder="1" applyAlignment="1">
      <alignment horizontal="right" wrapText="1"/>
    </xf>
    <xf numFmtId="38" fontId="2" fillId="33" borderId="0" xfId="1" applyNumberFormat="1" applyFont="1" applyFill="1" applyAlignment="1">
      <alignment horizontal="right" wrapText="1"/>
    </xf>
    <xf numFmtId="38" fontId="2" fillId="0" borderId="20" xfId="1" applyNumberFormat="1" applyFont="1" applyBorder="1" applyAlignment="1">
      <alignment horizontal="right" vertical="top" wrapText="1"/>
    </xf>
    <xf numFmtId="38" fontId="2" fillId="0" borderId="24" xfId="1" applyNumberFormat="1" applyFont="1" applyBorder="1" applyAlignment="1">
      <alignment horizontal="right" vertical="top" wrapText="1"/>
    </xf>
    <xf numFmtId="38" fontId="2" fillId="0" borderId="0" xfId="1" applyNumberFormat="1" applyFont="1" applyAlignment="1">
      <alignment horizontal="right" vertical="top" wrapText="1"/>
    </xf>
    <xf numFmtId="38" fontId="2" fillId="0" borderId="22" xfId="1" applyNumberFormat="1" applyFont="1" applyBorder="1" applyAlignment="1">
      <alignment horizontal="right" vertical="top" wrapText="1"/>
    </xf>
    <xf numFmtId="38" fontId="2" fillId="33" borderId="0" xfId="1" applyNumberFormat="1" applyFont="1" applyFill="1" applyAlignment="1">
      <alignment horizontal="right" vertical="top" wrapText="1"/>
    </xf>
    <xf numFmtId="38" fontId="0" fillId="0" borderId="0" xfId="1" applyNumberFormat="1" applyFont="1" applyAlignment="1">
      <alignment horizontal="right" wrapText="1"/>
    </xf>
    <xf numFmtId="164" fontId="2" fillId="0" borderId="20" xfId="1" applyNumberFormat="1" applyFont="1" applyBorder="1" applyAlignment="1">
      <alignment horizontal="right" vertical="top" wrapText="1"/>
    </xf>
    <xf numFmtId="164" fontId="2" fillId="0" borderId="24" xfId="1" applyNumberFormat="1" applyFont="1" applyBorder="1" applyAlignment="1">
      <alignment horizontal="right" vertical="top" wrapText="1"/>
    </xf>
    <xf numFmtId="164" fontId="2" fillId="0" borderId="0" xfId="1" applyNumberFormat="1" applyFont="1" applyAlignment="1">
      <alignment horizontal="right" vertical="top" wrapText="1"/>
    </xf>
    <xf numFmtId="164" fontId="2" fillId="0" borderId="22" xfId="1" applyNumberFormat="1" applyFont="1" applyBorder="1" applyAlignment="1">
      <alignment horizontal="right" vertical="top" wrapText="1"/>
    </xf>
    <xf numFmtId="164" fontId="2" fillId="33" borderId="0" xfId="1" applyNumberFormat="1" applyFont="1" applyFill="1" applyAlignment="1">
      <alignment horizontal="right" vertical="top" wrapText="1"/>
    </xf>
    <xf numFmtId="164" fontId="0" fillId="0" borderId="20" xfId="1" applyNumberFormat="1" applyFont="1" applyBorder="1" applyAlignment="1">
      <alignment horizontal="right" vertical="top" wrapText="1"/>
    </xf>
    <xf numFmtId="164" fontId="0" fillId="0" borderId="24" xfId="1" applyNumberFormat="1" applyFont="1" applyBorder="1" applyAlignment="1">
      <alignment horizontal="right" vertical="top" wrapText="1"/>
    </xf>
    <xf numFmtId="164" fontId="0" fillId="0" borderId="16" xfId="1" applyNumberFormat="1" applyFont="1" applyBorder="1" applyAlignment="1">
      <alignment horizontal="right" vertical="top" wrapText="1"/>
    </xf>
    <xf numFmtId="164" fontId="0" fillId="0" borderId="17" xfId="1" applyNumberFormat="1" applyFont="1" applyBorder="1" applyAlignment="1">
      <alignment horizontal="right" vertical="top" wrapText="1"/>
    </xf>
    <xf numFmtId="164" fontId="0" fillId="0" borderId="18" xfId="1" applyNumberFormat="1" applyFont="1" applyBorder="1" applyAlignment="1">
      <alignment horizontal="right" vertical="top" wrapText="1"/>
    </xf>
    <xf numFmtId="164" fontId="2" fillId="0" borderId="0" xfId="1" applyNumberFormat="1" applyFont="1" applyBorder="1" applyAlignment="1">
      <alignment horizontal="right" vertical="top" wrapText="1"/>
    </xf>
    <xf numFmtId="164" fontId="2" fillId="0" borderId="25" xfId="1" applyNumberFormat="1" applyFont="1" applyBorder="1" applyAlignment="1">
      <alignment horizontal="right" vertical="top" wrapText="1"/>
    </xf>
    <xf numFmtId="164" fontId="2" fillId="0" borderId="16" xfId="1" applyNumberFormat="1" applyFont="1" applyBorder="1" applyAlignment="1">
      <alignment horizontal="right" vertical="top" wrapText="1"/>
    </xf>
    <xf numFmtId="164" fontId="2" fillId="0" borderId="10" xfId="1" applyNumberFormat="1" applyFont="1" applyBorder="1" applyAlignment="1">
      <alignment horizontal="right" vertical="top" wrapText="1"/>
    </xf>
    <xf numFmtId="164" fontId="2" fillId="0" borderId="17" xfId="1" applyNumberFormat="1" applyFont="1" applyBorder="1" applyAlignment="1">
      <alignment horizontal="right" vertical="top" wrapText="1"/>
    </xf>
    <xf numFmtId="164" fontId="2" fillId="0" borderId="18" xfId="1" applyNumberFormat="1" applyFont="1" applyBorder="1" applyAlignment="1">
      <alignment horizontal="right" vertical="top" wrapText="1"/>
    </xf>
    <xf numFmtId="164" fontId="2" fillId="0" borderId="14" xfId="1" applyNumberFormat="1" applyFont="1" applyBorder="1" applyAlignment="1">
      <alignment horizontal="right" vertical="top" wrapText="1"/>
    </xf>
    <xf numFmtId="164" fontId="2" fillId="0" borderId="13" xfId="1" applyNumberFormat="1" applyFont="1" applyBorder="1" applyAlignment="1">
      <alignment horizontal="right" vertical="top" wrapText="1"/>
    </xf>
    <xf numFmtId="164" fontId="0" fillId="0" borderId="22" xfId="1" applyNumberFormat="1" applyFont="1" applyBorder="1" applyAlignment="1">
      <alignment horizontal="right" vertical="top" wrapText="1"/>
    </xf>
    <xf numFmtId="164" fontId="2" fillId="0" borderId="11" xfId="1" applyNumberFormat="1" applyFont="1" applyBorder="1" applyAlignment="1">
      <alignment horizontal="right" vertical="top" wrapText="1"/>
    </xf>
    <xf numFmtId="164" fontId="2" fillId="0" borderId="15" xfId="1" applyNumberFormat="1" applyFont="1" applyBorder="1" applyAlignment="1">
      <alignment horizontal="right" vertical="top" wrapText="1"/>
    </xf>
    <xf numFmtId="164" fontId="2" fillId="0" borderId="19" xfId="1" applyNumberFormat="1" applyFont="1" applyBorder="1" applyAlignment="1">
      <alignment horizontal="right" vertical="top" wrapText="1"/>
    </xf>
    <xf numFmtId="164" fontId="2" fillId="0" borderId="12" xfId="1" applyNumberFormat="1" applyFont="1" applyBorder="1" applyAlignment="1">
      <alignment horizontal="right" vertical="top" wrapText="1"/>
    </xf>
    <xf numFmtId="164" fontId="2" fillId="0" borderId="21" xfId="1" applyNumberFormat="1" applyFont="1" applyBorder="1" applyAlignment="1">
      <alignment horizontal="right" vertical="top" wrapText="1"/>
    </xf>
    <xf numFmtId="164" fontId="2" fillId="0" borderId="23" xfId="1" applyNumberFormat="1" applyFont="1" applyBorder="1" applyAlignment="1">
      <alignment horizontal="right" vertical="top" wrapText="1"/>
    </xf>
    <xf numFmtId="164" fontId="0" fillId="0" borderId="24" xfId="1" applyNumberFormat="1" applyFont="1" applyFill="1" applyBorder="1" applyAlignment="1">
      <alignment horizontal="right" vertical="top" wrapText="1"/>
    </xf>
    <xf numFmtId="164" fontId="2" fillId="0" borderId="24" xfId="1" applyNumberFormat="1" applyFont="1" applyFill="1" applyBorder="1" applyAlignment="1">
      <alignment horizontal="right" vertical="top" wrapText="1"/>
    </xf>
    <xf numFmtId="164" fontId="2" fillId="0" borderId="0" xfId="1" applyNumberFormat="1" applyFont="1" applyFill="1" applyAlignment="1">
      <alignment horizontal="right" vertical="top" wrapText="1"/>
    </xf>
    <xf numFmtId="38" fontId="13" fillId="0" borderId="10" xfId="0" quotePrefix="1" applyNumberFormat="1" applyFont="1" applyBorder="1" applyAlignment="1">
      <alignment horizontal="center" wrapText="1"/>
    </xf>
    <xf numFmtId="164" fontId="18" fillId="0" borderId="0" xfId="1" applyNumberFormat="1" applyFont="1" applyBorder="1" applyAlignment="1">
      <alignment horizontal="right" vertical="top" wrapText="1"/>
    </xf>
    <xf numFmtId="164" fontId="2" fillId="0" borderId="24" xfId="1" applyNumberFormat="1" applyFont="1" applyBorder="1" applyAlignment="1">
      <alignment horizontal="centerContinuous" vertical="top" wrapText="1"/>
    </xf>
    <xf numFmtId="38" fontId="20" fillId="0" borderId="24" xfId="0" applyNumberFormat="1" applyFont="1" applyBorder="1" applyAlignment="1">
      <alignment horizontal="centerContinuous" wrapText="1"/>
    </xf>
    <xf numFmtId="38" fontId="20" fillId="0" borderId="0" xfId="0" applyNumberFormat="1" applyFont="1" applyBorder="1" applyAlignment="1">
      <alignment horizontal="centerContinuous" wrapText="1"/>
    </xf>
    <xf numFmtId="164" fontId="2" fillId="0" borderId="0" xfId="1" applyNumberFormat="1" applyFont="1" applyBorder="1" applyAlignment="1">
      <alignment horizontal="centerContinuous" vertical="top" wrapText="1"/>
    </xf>
    <xf numFmtId="38" fontId="0" fillId="0" borderId="10" xfId="0" applyNumberFormat="1" applyBorder="1" applyAlignment="1">
      <alignment horizontal="right" wrapText="1"/>
    </xf>
    <xf numFmtId="164" fontId="0" fillId="0" borderId="24" xfId="1" applyNumberFormat="1" applyFont="1" applyBorder="1"/>
    <xf numFmtId="164" fontId="0" fillId="0" borderId="0" xfId="1" applyNumberFormat="1" applyFont="1"/>
    <xf numFmtId="164" fontId="0" fillId="0" borderId="18" xfId="1" applyNumberFormat="1" applyFont="1" applyBorder="1"/>
    <xf numFmtId="164" fontId="0" fillId="0" borderId="24" xfId="1" applyNumberFormat="1" applyFont="1" applyFill="1" applyBorder="1"/>
    <xf numFmtId="164" fontId="0" fillId="0" borderId="13" xfId="1" applyNumberFormat="1" applyFont="1" applyBorder="1"/>
    <xf numFmtId="43" fontId="13" fillId="0" borderId="0" xfId="1" applyFont="1" applyFill="1" applyAlignment="1">
      <alignment horizontal="left" vertical="top" wrapText="1"/>
    </xf>
    <xf numFmtId="164" fontId="0" fillId="0" borderId="20" xfId="1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 applyAlignment="1">
      <alignment horizontal="right" vertical="top" wrapText="1"/>
    </xf>
    <xf numFmtId="164" fontId="2" fillId="0" borderId="22" xfId="1" applyNumberFormat="1" applyFont="1" applyFill="1" applyBorder="1" applyAlignment="1">
      <alignment horizontal="right" vertical="top" wrapText="1"/>
    </xf>
    <xf numFmtId="43" fontId="0" fillId="0" borderId="0" xfId="1" applyFont="1" applyFill="1"/>
    <xf numFmtId="164" fontId="2" fillId="0" borderId="18" xfId="1" applyNumberFormat="1" applyFont="1" applyFill="1" applyBorder="1" applyAlignment="1">
      <alignment horizontal="right" vertical="top" wrapText="1"/>
    </xf>
    <xf numFmtId="164" fontId="0" fillId="0" borderId="18" xfId="1" applyNumberFormat="1" applyFont="1" applyFill="1" applyBorder="1" applyAlignment="1">
      <alignment horizontal="right" vertical="top" wrapText="1"/>
    </xf>
    <xf numFmtId="38" fontId="2" fillId="0" borderId="0" xfId="1" applyNumberFormat="1" applyFont="1" applyFill="1" applyAlignment="1">
      <alignment horizontal="right" vertical="top" wrapText="1"/>
    </xf>
    <xf numFmtId="38" fontId="2" fillId="0" borderId="0" xfId="1" applyNumberFormat="1" applyFont="1" applyFill="1" applyAlignment="1">
      <alignment horizontal="right" wrapText="1"/>
    </xf>
    <xf numFmtId="38" fontId="0" fillId="0" borderId="0" xfId="0" applyNumberFormat="1" applyFill="1" applyAlignment="1">
      <alignment horizontal="right" wrapText="1"/>
    </xf>
    <xf numFmtId="164" fontId="2" fillId="0" borderId="0" xfId="1" applyNumberFormat="1" applyFont="1" applyFill="1" applyBorder="1" applyAlignment="1">
      <alignment horizontal="right" vertical="top" wrapText="1"/>
    </xf>
    <xf numFmtId="10" fontId="0" fillId="0" borderId="0" xfId="5" applyNumberFormat="1" applyFont="1"/>
    <xf numFmtId="0" fontId="0" fillId="0" borderId="0" xfId="0" applyAlignment="1">
      <alignment horizontal="left" indent="1"/>
    </xf>
    <xf numFmtId="0" fontId="20" fillId="0" borderId="14" xfId="0" applyFont="1" applyBorder="1" applyAlignment="1">
      <alignment horizontal="centerContinuous"/>
    </xf>
    <xf numFmtId="38" fontId="17" fillId="0" borderId="11" xfId="0" applyNumberFormat="1" applyFont="1" applyBorder="1" applyAlignment="1">
      <alignment horizontal="centerContinuous"/>
    </xf>
    <xf numFmtId="0" fontId="20" fillId="0" borderId="15" xfId="0" applyFont="1" applyBorder="1" applyAlignment="1">
      <alignment horizontal="centerContinuous"/>
    </xf>
    <xf numFmtId="0" fontId="20" fillId="0" borderId="13" xfId="0" applyFont="1" applyBorder="1" applyAlignment="1">
      <alignment horizontal="center"/>
    </xf>
    <xf numFmtId="38" fontId="0" fillId="0" borderId="10" xfId="0" applyNumberFormat="1" applyBorder="1" applyAlignment="1">
      <alignment horizontal="centerContinuous" wrapText="1"/>
    </xf>
    <xf numFmtId="0" fontId="20" fillId="0" borderId="11" xfId="0" applyFont="1" applyBorder="1" applyAlignment="1">
      <alignment horizontal="centerContinuous"/>
    </xf>
    <xf numFmtId="38" fontId="2" fillId="0" borderId="0" xfId="1" applyNumberFormat="1" applyFont="1" applyBorder="1" applyAlignment="1">
      <alignment horizontal="right" wrapText="1"/>
    </xf>
    <xf numFmtId="38" fontId="2" fillId="0" borderId="0" xfId="1" applyNumberFormat="1" applyFont="1" applyBorder="1" applyAlignment="1">
      <alignment horizontal="right" vertical="top" wrapText="1"/>
    </xf>
    <xf numFmtId="38" fontId="20" fillId="0" borderId="10" xfId="0" applyNumberFormat="1" applyFont="1" applyBorder="1" applyAlignment="1">
      <alignment horizontal="centerContinuous" wrapText="1"/>
    </xf>
    <xf numFmtId="38" fontId="19" fillId="0" borderId="18" xfId="1" applyNumberFormat="1" applyFont="1" applyBorder="1" applyAlignment="1">
      <alignment horizontal="center" wrapText="1"/>
    </xf>
    <xf numFmtId="164" fontId="0" fillId="0" borderId="10" xfId="1" applyNumberFormat="1" applyFont="1" applyBorder="1" applyAlignment="1">
      <alignment horizontal="center"/>
    </xf>
    <xf numFmtId="164" fontId="0" fillId="0" borderId="26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13" fillId="0" borderId="0" xfId="0" applyFont="1"/>
    <xf numFmtId="0" fontId="13" fillId="0" borderId="10" xfId="0" applyFont="1" applyBorder="1"/>
    <xf numFmtId="14" fontId="0" fillId="0" borderId="0" xfId="0" applyNumberFormat="1"/>
    <xf numFmtId="165" fontId="0" fillId="0" borderId="0" xfId="5" applyNumberFormat="1" applyFont="1"/>
    <xf numFmtId="165" fontId="0" fillId="0" borderId="0" xfId="0" applyNumberFormat="1"/>
    <xf numFmtId="43" fontId="0" fillId="0" borderId="10" xfId="1" applyFont="1" applyBorder="1"/>
    <xf numFmtId="0" fontId="0" fillId="0" borderId="0" xfId="0" applyBorder="1" applyAlignment="1">
      <alignment horizontal="left" wrapText="1"/>
    </xf>
    <xf numFmtId="38" fontId="0" fillId="0" borderId="0" xfId="1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10" fontId="0" fillId="0" borderId="0" xfId="5" applyNumberFormat="1" applyFont="1" applyBorder="1" applyAlignment="1">
      <alignment horizontal="right" wrapText="1"/>
    </xf>
    <xf numFmtId="164" fontId="18" fillId="0" borderId="0" xfId="1" applyNumberFormat="1" applyFont="1" applyFill="1" applyAlignment="1">
      <alignment horizontal="right" vertical="top" wrapText="1"/>
    </xf>
    <xf numFmtId="0" fontId="13" fillId="0" borderId="0" xfId="0" applyFont="1" applyAlignment="1">
      <alignment horizontal="center"/>
    </xf>
    <xf numFmtId="164" fontId="0" fillId="0" borderId="0" xfId="1" applyNumberFormat="1" applyFont="1" applyFill="1" applyAlignment="1">
      <alignment horizontal="center" vertical="top" wrapText="1"/>
    </xf>
    <xf numFmtId="164" fontId="0" fillId="0" borderId="10" xfId="1" applyNumberFormat="1" applyFont="1" applyFill="1" applyBorder="1" applyAlignment="1">
      <alignment horizontal="center"/>
    </xf>
    <xf numFmtId="164" fontId="0" fillId="0" borderId="26" xfId="1" applyNumberFormat="1" applyFont="1" applyFill="1" applyBorder="1" applyAlignment="1">
      <alignment horizontal="center"/>
    </xf>
    <xf numFmtId="0" fontId="0" fillId="34" borderId="0" xfId="0" applyFill="1"/>
    <xf numFmtId="164" fontId="2" fillId="34" borderId="24" xfId="1" applyNumberFormat="1" applyFont="1" applyFill="1" applyBorder="1" applyAlignment="1">
      <alignment horizontal="right" vertical="top" wrapText="1"/>
    </xf>
    <xf numFmtId="164" fontId="0" fillId="34" borderId="0" xfId="1" applyNumberFormat="1" applyFont="1" applyFill="1"/>
    <xf numFmtId="164" fontId="0" fillId="34" borderId="24" xfId="1" applyNumberFormat="1" applyFont="1" applyFill="1" applyBorder="1"/>
    <xf numFmtId="10" fontId="0" fillId="0" borderId="0" xfId="5" applyNumberFormat="1" applyFont="1" applyFill="1"/>
    <xf numFmtId="10" fontId="2" fillId="0" borderId="24" xfId="5" applyNumberFormat="1" applyFont="1" applyFill="1" applyBorder="1" applyAlignment="1">
      <alignment horizontal="right" vertical="top" wrapText="1"/>
    </xf>
    <xf numFmtId="43" fontId="0" fillId="0" borderId="0" xfId="1" applyFont="1" applyBorder="1"/>
    <xf numFmtId="38" fontId="20" fillId="0" borderId="15" xfId="0" quotePrefix="1" applyNumberFormat="1" applyFont="1" applyBorder="1" applyAlignment="1">
      <alignment horizontal="centerContinuous" wrapText="1"/>
    </xf>
    <xf numFmtId="43" fontId="13" fillId="0" borderId="0" xfId="1" applyFont="1" applyAlignment="1">
      <alignment horizontal="left" vertical="top" wrapText="1" indent="4"/>
    </xf>
    <xf numFmtId="14" fontId="13" fillId="0" borderId="0" xfId="0" applyNumberFormat="1" applyFont="1" applyAlignment="1">
      <alignment horizontal="center"/>
    </xf>
    <xf numFmtId="0" fontId="18" fillId="0" borderId="0" xfId="0" applyFont="1" applyFill="1"/>
    <xf numFmtId="14" fontId="18" fillId="0" borderId="0" xfId="0" applyNumberFormat="1" applyFont="1" applyFill="1"/>
    <xf numFmtId="43" fontId="18" fillId="0" borderId="0" xfId="1" applyFont="1" applyFill="1"/>
    <xf numFmtId="165" fontId="18" fillId="0" borderId="0" xfId="5" applyNumberFormat="1" applyFont="1" applyFill="1"/>
    <xf numFmtId="164" fontId="0" fillId="0" borderId="18" xfId="1" applyNumberFormat="1" applyFont="1" applyFill="1" applyBorder="1"/>
    <xf numFmtId="14" fontId="0" fillId="0" borderId="0" xfId="0" applyNumberFormat="1" applyFill="1"/>
    <xf numFmtId="165" fontId="0" fillId="0" borderId="0" xfId="5" applyNumberFormat="1" applyFont="1" applyFill="1"/>
    <xf numFmtId="43" fontId="13" fillId="0" borderId="0" xfId="1" applyFont="1" applyFill="1" applyBorder="1" applyAlignment="1">
      <alignment horizontal="left" vertical="top" wrapText="1"/>
    </xf>
    <xf numFmtId="10" fontId="13" fillId="0" borderId="0" xfId="5" applyNumberFormat="1" applyFont="1" applyAlignment="1">
      <alignment horizontal="right" vertical="top" wrapText="1"/>
    </xf>
    <xf numFmtId="10" fontId="2" fillId="0" borderId="0" xfId="5" applyNumberFormat="1" applyFont="1" applyFill="1" applyAlignment="1">
      <alignment horizontal="right" vertical="top" wrapText="1"/>
    </xf>
    <xf numFmtId="10" fontId="2" fillId="0" borderId="0" xfId="5" applyNumberFormat="1" applyFont="1" applyAlignment="1">
      <alignment horizontal="right" vertical="top" wrapText="1"/>
    </xf>
    <xf numFmtId="10" fontId="13" fillId="0" borderId="0" xfId="5" applyNumberFormat="1" applyFont="1"/>
    <xf numFmtId="38" fontId="13" fillId="0" borderId="0" xfId="1" applyNumberFormat="1" applyFont="1" applyAlignment="1">
      <alignment horizontal="right" vertical="top" wrapText="1"/>
    </xf>
    <xf numFmtId="164" fontId="0" fillId="0" borderId="0" xfId="1" applyNumberFormat="1" applyFont="1" applyFill="1"/>
    <xf numFmtId="10" fontId="0" fillId="0" borderId="0" xfId="1" applyNumberFormat="1" applyFont="1" applyFill="1" applyAlignment="1">
      <alignment horizontal="right" vertical="top" wrapText="1"/>
    </xf>
    <xf numFmtId="10" fontId="0" fillId="0" borderId="0" xfId="1" applyNumberFormat="1" applyFont="1" applyFill="1" applyAlignment="1">
      <alignment horizontal="center" vertical="top" wrapText="1"/>
    </xf>
    <xf numFmtId="164" fontId="0" fillId="0" borderId="0" xfId="1" applyNumberFormat="1" applyFont="1" applyAlignment="1">
      <alignment horizontal="right"/>
    </xf>
    <xf numFmtId="164" fontId="0" fillId="0" borderId="10" xfId="1" applyNumberFormat="1" applyFont="1" applyBorder="1" applyAlignment="1">
      <alignment horizontal="right" wrapText="1"/>
    </xf>
    <xf numFmtId="164" fontId="0" fillId="0" borderId="0" xfId="1" applyNumberFormat="1" applyFont="1" applyBorder="1" applyAlignment="1">
      <alignment horizontal="right" wrapText="1"/>
    </xf>
    <xf numFmtId="164" fontId="0" fillId="0" borderId="0" xfId="1" applyNumberFormat="1" applyFont="1" applyAlignment="1">
      <alignment horizontal="center" wrapText="1"/>
    </xf>
    <xf numFmtId="164" fontId="18" fillId="0" borderId="0" xfId="1" applyNumberFormat="1" applyFont="1" applyBorder="1" applyAlignment="1">
      <alignment horizontal="right" wrapText="1"/>
    </xf>
    <xf numFmtId="164" fontId="0" fillId="0" borderId="10" xfId="1" applyNumberFormat="1" applyFont="1" applyBorder="1" applyAlignment="1">
      <alignment horizontal="center" wrapText="1"/>
    </xf>
    <xf numFmtId="164" fontId="0" fillId="0" borderId="12" xfId="1" applyNumberFormat="1" applyFont="1" applyBorder="1" applyAlignment="1">
      <alignment horizontal="center" wrapText="1"/>
    </xf>
    <xf numFmtId="164" fontId="0" fillId="0" borderId="0" xfId="1" applyNumberFormat="1" applyFont="1" applyBorder="1" applyAlignment="1">
      <alignment horizontal="center" wrapText="1"/>
    </xf>
    <xf numFmtId="164" fontId="0" fillId="0" borderId="11" xfId="1" applyNumberFormat="1" applyFont="1" applyBorder="1" applyAlignment="1">
      <alignment horizontal="center" wrapText="1"/>
    </xf>
    <xf numFmtId="164" fontId="0" fillId="0" borderId="0" xfId="1" applyNumberFormat="1" applyFont="1" applyFill="1" applyAlignment="1">
      <alignment horizontal="right"/>
    </xf>
    <xf numFmtId="164" fontId="0" fillId="0" borderId="10" xfId="1" applyNumberFormat="1" applyFont="1" applyBorder="1" applyAlignment="1">
      <alignment horizontal="right"/>
    </xf>
    <xf numFmtId="164" fontId="0" fillId="0" borderId="10" xfId="1" applyNumberFormat="1" applyFont="1" applyFill="1" applyBorder="1" applyAlignment="1">
      <alignment horizontal="right" vertical="top" wrapText="1"/>
    </xf>
    <xf numFmtId="164" fontId="0" fillId="0" borderId="0" xfId="1" applyNumberFormat="1" applyFont="1" applyFill="1" applyAlignment="1">
      <alignment horizontal="right" wrapText="1"/>
    </xf>
    <xf numFmtId="164" fontId="0" fillId="0" borderId="0" xfId="1" applyNumberFormat="1" applyFont="1" applyFill="1" applyBorder="1" applyAlignment="1">
      <alignment horizontal="right" vertical="top" wrapText="1"/>
    </xf>
    <xf numFmtId="164" fontId="0" fillId="0" borderId="26" xfId="1" applyNumberFormat="1" applyFont="1" applyBorder="1" applyAlignment="1">
      <alignment horizontal="right"/>
    </xf>
    <xf numFmtId="164" fontId="0" fillId="0" borderId="10" xfId="1" applyNumberFormat="1" applyFont="1" applyFill="1" applyBorder="1" applyAlignment="1">
      <alignment horizontal="right"/>
    </xf>
    <xf numFmtId="164" fontId="0" fillId="0" borderId="26" xfId="1" applyNumberFormat="1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 wrapText="1"/>
    </xf>
    <xf numFmtId="164" fontId="0" fillId="0" borderId="10" xfId="1" applyNumberFormat="1" applyFont="1" applyFill="1" applyBorder="1" applyAlignment="1">
      <alignment horizontal="right" wrapText="1"/>
    </xf>
    <xf numFmtId="0" fontId="20" fillId="0" borderId="13" xfId="0" applyFont="1" applyBorder="1" applyAlignment="1">
      <alignment horizontal="centerContinuous"/>
    </xf>
    <xf numFmtId="43" fontId="13" fillId="0" borderId="10" xfId="1" applyFont="1" applyBorder="1" applyAlignment="1">
      <alignment horizontal="center" wrapText="1"/>
    </xf>
    <xf numFmtId="0" fontId="20" fillId="0" borderId="13" xfId="0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right" wrapText="1"/>
    </xf>
    <xf numFmtId="38" fontId="19" fillId="0" borderId="0" xfId="1" applyNumberFormat="1" applyFont="1" applyBorder="1" applyAlignment="1">
      <alignment horizontal="center" wrapText="1"/>
    </xf>
    <xf numFmtId="38" fontId="19" fillId="0" borderId="10" xfId="1" applyNumberFormat="1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38" fontId="20" fillId="0" borderId="11" xfId="0" quotePrefix="1" applyNumberFormat="1" applyFont="1" applyBorder="1" applyAlignment="1">
      <alignment horizontal="centerContinuous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43" fontId="0" fillId="0" borderId="0" xfId="1" applyFont="1" applyFill="1" applyAlignment="1">
      <alignment horizontal="right" wrapText="1"/>
    </xf>
    <xf numFmtId="0" fontId="0" fillId="0" borderId="0" xfId="0" applyAlignment="1">
      <alignment horizontal="left"/>
    </xf>
    <xf numFmtId="164" fontId="0" fillId="0" borderId="0" xfId="0" applyNumberFormat="1"/>
    <xf numFmtId="0" fontId="13" fillId="0" borderId="14" xfId="0" applyFont="1" applyBorder="1" applyAlignment="1">
      <alignment horizontal="center"/>
    </xf>
    <xf numFmtId="0" fontId="13" fillId="0" borderId="10" xfId="0" quotePrefix="1" applyFont="1" applyFill="1" applyBorder="1" applyAlignment="1">
      <alignment horizontal="center"/>
    </xf>
    <xf numFmtId="0" fontId="13" fillId="0" borderId="10" xfId="0" quotePrefix="1" applyFont="1" applyBorder="1" applyAlignment="1">
      <alignment horizontal="center"/>
    </xf>
    <xf numFmtId="0" fontId="13" fillId="0" borderId="14" xfId="0" quotePrefix="1" applyFont="1" applyBorder="1" applyAlignment="1">
      <alignment horizontal="center"/>
    </xf>
    <xf numFmtId="0" fontId="13" fillId="0" borderId="17" xfId="0" quotePrefix="1" applyFont="1" applyBorder="1" applyAlignment="1">
      <alignment horizontal="center"/>
    </xf>
    <xf numFmtId="38" fontId="20" fillId="0" borderId="13" xfId="0" quotePrefix="1" applyNumberFormat="1" applyFont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8" fontId="20" fillId="0" borderId="14" xfId="0" quotePrefix="1" applyNumberFormat="1" applyFont="1" applyBorder="1" applyAlignment="1">
      <alignment horizontal="centerContinuous"/>
    </xf>
    <xf numFmtId="164" fontId="0" fillId="0" borderId="10" xfId="1" applyNumberFormat="1" applyFont="1" applyFill="1" applyBorder="1"/>
    <xf numFmtId="43" fontId="0" fillId="0" borderId="10" xfId="1" applyFont="1" applyFill="1" applyBorder="1"/>
    <xf numFmtId="43" fontId="0" fillId="0" borderId="0" xfId="1" applyFont="1" applyFill="1" applyBorder="1"/>
    <xf numFmtId="10" fontId="0" fillId="0" borderId="24" xfId="5" applyNumberFormat="1" applyFont="1" applyFill="1" applyBorder="1"/>
    <xf numFmtId="0" fontId="23" fillId="0" borderId="0" xfId="0" applyFont="1" applyFill="1"/>
    <xf numFmtId="0" fontId="21" fillId="0" borderId="0" xfId="0" applyFont="1" applyFill="1"/>
    <xf numFmtId="0" fontId="22" fillId="0" borderId="0" xfId="0" applyFont="1" applyFill="1"/>
    <xf numFmtId="164" fontId="0" fillId="0" borderId="22" xfId="1" applyNumberFormat="1" applyFont="1" applyFill="1" applyBorder="1" applyAlignment="1">
      <alignment horizontal="right" vertical="top" wrapText="1"/>
    </xf>
    <xf numFmtId="0" fontId="25" fillId="0" borderId="0" xfId="48" applyFont="1" applyBorder="1"/>
    <xf numFmtId="0" fontId="25" fillId="0" borderId="0" xfId="48" applyFont="1" applyBorder="1" applyAlignment="1">
      <alignment horizontal="center"/>
    </xf>
    <xf numFmtId="0" fontId="25" fillId="0" borderId="0" xfId="48" applyFont="1" applyBorder="1" applyAlignment="1">
      <alignment horizontal="left"/>
    </xf>
    <xf numFmtId="44" fontId="31" fillId="35" borderId="0" xfId="49" applyNumberFormat="1" applyFont="1" applyFill="1" applyBorder="1" applyAlignment="1">
      <alignment horizontal="right"/>
    </xf>
    <xf numFmtId="44" fontId="31" fillId="35" borderId="0" xfId="49" applyNumberFormat="1" applyFont="1" applyFill="1" applyBorder="1" applyAlignment="1" applyProtection="1">
      <alignment horizontal="right"/>
      <protection locked="0"/>
    </xf>
    <xf numFmtId="14" fontId="31" fillId="35" borderId="0" xfId="48" applyNumberFormat="1" applyFont="1" applyFill="1" applyBorder="1" applyAlignment="1">
      <alignment horizontal="right"/>
    </xf>
    <xf numFmtId="0" fontId="31" fillId="35" borderId="0" xfId="48" applyFont="1" applyFill="1" applyBorder="1" applyAlignment="1">
      <alignment horizontal="left"/>
    </xf>
    <xf numFmtId="0" fontId="25" fillId="0" borderId="0" xfId="48" applyFont="1" applyBorder="1" applyAlignment="1">
      <alignment wrapText="1"/>
    </xf>
    <xf numFmtId="0" fontId="30" fillId="36" borderId="27" xfId="50" applyFont="1" applyBorder="1" applyAlignment="1" applyProtection="1">
      <alignment horizontal="left" wrapText="1" indent="3"/>
    </xf>
    <xf numFmtId="0" fontId="30" fillId="36" borderId="27" xfId="50" applyFont="1" applyBorder="1" applyAlignment="1" applyProtection="1">
      <alignment horizontal="left" wrapText="1" indent="2"/>
    </xf>
    <xf numFmtId="0" fontId="30" fillId="36" borderId="27" xfId="50" applyFont="1" applyBorder="1" applyAlignment="1">
      <alignment horizontal="left"/>
    </xf>
    <xf numFmtId="0" fontId="26" fillId="36" borderId="20" xfId="50" applyFont="1" applyBorder="1" applyAlignment="1" applyProtection="1">
      <alignment horizontal="center" vertical="center" wrapText="1"/>
    </xf>
    <xf numFmtId="0" fontId="26" fillId="36" borderId="24" xfId="50" applyFont="1" applyBorder="1" applyAlignment="1" applyProtection="1">
      <alignment horizontal="center" vertical="center" wrapText="1"/>
    </xf>
    <xf numFmtId="0" fontId="26" fillId="36" borderId="22" xfId="50" applyFont="1" applyBorder="1" applyAlignment="1" applyProtection="1">
      <alignment horizontal="center" vertical="center" wrapText="1"/>
    </xf>
    <xf numFmtId="0" fontId="30" fillId="36" borderId="0" xfId="50" applyFont="1" applyBorder="1"/>
    <xf numFmtId="0" fontId="30" fillId="36" borderId="0" xfId="50" applyFont="1" applyBorder="1" applyAlignment="1">
      <alignment horizontal="left"/>
    </xf>
    <xf numFmtId="0" fontId="25" fillId="35" borderId="27" xfId="48" applyFont="1" applyFill="1" applyBorder="1"/>
    <xf numFmtId="0" fontId="25" fillId="35" borderId="27" xfId="48" applyFont="1" applyFill="1" applyBorder="1" applyAlignment="1">
      <alignment horizontal="left"/>
    </xf>
    <xf numFmtId="0" fontId="25" fillId="35" borderId="0" xfId="48" applyFont="1" applyFill="1" applyBorder="1"/>
    <xf numFmtId="0" fontId="25" fillId="35" borderId="35" xfId="48" applyFont="1" applyFill="1" applyBorder="1" applyAlignment="1" applyProtection="1">
      <alignment horizontal="left"/>
    </xf>
    <xf numFmtId="0" fontId="29" fillId="35" borderId="0" xfId="48" applyFont="1" applyFill="1" applyBorder="1" applyAlignment="1">
      <alignment horizontal="right"/>
    </xf>
    <xf numFmtId="0" fontId="25" fillId="35" borderId="0" xfId="48" applyFont="1" applyFill="1" applyBorder="1" applyAlignment="1">
      <alignment horizontal="left"/>
    </xf>
    <xf numFmtId="0" fontId="25" fillId="35" borderId="0" xfId="48" applyFont="1" applyFill="1"/>
    <xf numFmtId="0" fontId="25" fillId="35" borderId="0" xfId="48" applyNumberFormat="1" applyFont="1" applyFill="1" applyBorder="1" applyAlignment="1">
      <alignment horizontal="left"/>
    </xf>
    <xf numFmtId="44" fontId="27" fillId="5" borderId="4" xfId="51" applyNumberFormat="1" applyFont="1" applyAlignment="1" applyProtection="1">
      <alignment horizontal="right"/>
      <protection locked="0"/>
    </xf>
    <xf numFmtId="0" fontId="25" fillId="35" borderId="27" xfId="48" applyFont="1" applyFill="1" applyBorder="1" applyAlignment="1">
      <alignment horizontal="right"/>
    </xf>
    <xf numFmtId="0" fontId="25" fillId="35" borderId="32" xfId="48" applyFont="1" applyFill="1" applyBorder="1" applyAlignment="1">
      <alignment horizontal="left"/>
    </xf>
    <xf numFmtId="44" fontId="28" fillId="6" borderId="4" xfId="52" applyNumberFormat="1" applyFont="1" applyAlignment="1">
      <alignment horizontal="right"/>
    </xf>
    <xf numFmtId="14" fontId="27" fillId="5" borderId="4" xfId="51" applyNumberFormat="1" applyFont="1" applyAlignment="1" applyProtection="1">
      <alignment horizontal="right"/>
      <protection locked="0"/>
    </xf>
    <xf numFmtId="0" fontId="25" fillId="35" borderId="0" xfId="48" applyFont="1" applyFill="1" applyBorder="1" applyAlignment="1">
      <alignment horizontal="right"/>
    </xf>
    <xf numFmtId="0" fontId="25" fillId="35" borderId="31" xfId="48" applyFont="1" applyFill="1" applyBorder="1" applyAlignment="1">
      <alignment horizontal="left"/>
    </xf>
    <xf numFmtId="167" fontId="27" fillId="5" borderId="4" xfId="51" applyNumberFormat="1" applyFont="1" applyAlignment="1" applyProtection="1">
      <alignment horizontal="right"/>
      <protection locked="0"/>
    </xf>
    <xf numFmtId="167" fontId="28" fillId="6" borderId="4" xfId="52" applyNumberFormat="1" applyFont="1" applyAlignment="1">
      <alignment horizontal="right"/>
    </xf>
    <xf numFmtId="166" fontId="27" fillId="5" borderId="4" xfId="51" applyNumberFormat="1" applyFont="1" applyAlignment="1" applyProtection="1">
      <alignment horizontal="right"/>
      <protection locked="0"/>
    </xf>
    <xf numFmtId="0" fontId="25" fillId="0" borderId="0" xfId="48" applyFont="1" applyAlignment="1"/>
    <xf numFmtId="0" fontId="24" fillId="35" borderId="0" xfId="48" applyFont="1" applyFill="1" applyBorder="1" applyAlignment="1"/>
    <xf numFmtId="43" fontId="13" fillId="0" borderId="0" xfId="1" applyFont="1" applyAlignment="1">
      <alignment horizontal="left" wrapText="1"/>
    </xf>
    <xf numFmtId="0" fontId="0" fillId="0" borderId="10" xfId="0" applyBorder="1"/>
    <xf numFmtId="0" fontId="0" fillId="0" borderId="0" xfId="0" applyAlignment="1">
      <alignment horizontal="left" vertical="top"/>
    </xf>
    <xf numFmtId="43" fontId="0" fillId="0" borderId="0" xfId="1" applyNumberFormat="1" applyFont="1"/>
    <xf numFmtId="38" fontId="0" fillId="0" borderId="0" xfId="1" applyNumberFormat="1" applyFont="1"/>
    <xf numFmtId="38" fontId="2" fillId="0" borderId="10" xfId="1" applyNumberFormat="1" applyFont="1" applyBorder="1" applyAlignment="1">
      <alignment horizontal="right" vertical="top" wrapText="1"/>
    </xf>
    <xf numFmtId="38" fontId="0" fillId="0" borderId="0" xfId="0" applyNumberFormat="1"/>
    <xf numFmtId="38" fontId="0" fillId="0" borderId="10" xfId="1" applyNumberFormat="1" applyFont="1" applyBorder="1"/>
    <xf numFmtId="38" fontId="0" fillId="0" borderId="10" xfId="0" applyNumberFormat="1" applyBorder="1"/>
    <xf numFmtId="168" fontId="0" fillId="0" borderId="0" xfId="0" applyNumberFormat="1"/>
    <xf numFmtId="168" fontId="0" fillId="0" borderId="0" xfId="0" applyNumberFormat="1" applyAlignment="1">
      <alignment horizontal="right" wrapText="1"/>
    </xf>
    <xf numFmtId="164" fontId="2" fillId="0" borderId="24" xfId="1" applyNumberFormat="1" applyFont="1" applyBorder="1" applyAlignment="1">
      <alignment horizontal="right" wrapText="1"/>
    </xf>
    <xf numFmtId="164" fontId="0" fillId="0" borderId="10" xfId="0" applyNumberFormat="1" applyBorder="1"/>
    <xf numFmtId="38" fontId="20" fillId="0" borderId="13" xfId="0" applyNumberFormat="1" applyFont="1" applyBorder="1" applyAlignment="1">
      <alignment horizontal="center"/>
    </xf>
    <xf numFmtId="38" fontId="13" fillId="0" borderId="10" xfId="0" quotePrefix="1" applyNumberFormat="1" applyFont="1" applyBorder="1" applyAlignment="1">
      <alignment horizontal="center"/>
    </xf>
    <xf numFmtId="164" fontId="0" fillId="0" borderId="12" xfId="1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43" fontId="0" fillId="0" borderId="24" xfId="1" applyNumberFormat="1" applyFont="1" applyBorder="1"/>
    <xf numFmtId="43" fontId="0" fillId="0" borderId="18" xfId="1" applyFont="1" applyBorder="1"/>
    <xf numFmtId="38" fontId="19" fillId="0" borderId="13" xfId="1" quotePrefix="1" applyNumberFormat="1" applyFont="1" applyBorder="1" applyAlignment="1">
      <alignment horizontal="center" wrapText="1"/>
    </xf>
    <xf numFmtId="38" fontId="0" fillId="0" borderId="24" xfId="1" applyNumberFormat="1" applyFont="1" applyBorder="1"/>
    <xf numFmtId="38" fontId="0" fillId="0" borderId="24" xfId="1" applyNumberFormat="1" applyFont="1" applyFill="1" applyBorder="1"/>
    <xf numFmtId="38" fontId="0" fillId="0" borderId="18" xfId="1" applyNumberFormat="1" applyFont="1" applyBorder="1"/>
    <xf numFmtId="0" fontId="13" fillId="0" borderId="0" xfId="0" applyFont="1" applyFill="1" applyAlignment="1">
      <alignment horizontal="left" vertical="top" wrapText="1" indent="2"/>
    </xf>
    <xf numFmtId="164" fontId="18" fillId="0" borderId="0" xfId="1" applyNumberFormat="1" applyFont="1" applyFill="1" applyBorder="1" applyAlignment="1">
      <alignment horizontal="right" vertical="top" wrapText="1"/>
    </xf>
    <xf numFmtId="164" fontId="18" fillId="0" borderId="0" xfId="1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wrapText="1"/>
    </xf>
    <xf numFmtId="164" fontId="0" fillId="0" borderId="0" xfId="0" applyNumberFormat="1" applyFill="1" applyAlignment="1">
      <alignment horizontal="center"/>
    </xf>
    <xf numFmtId="40" fontId="0" fillId="0" borderId="0" xfId="0" applyNumberFormat="1" applyFill="1" applyAlignment="1">
      <alignment horizontal="right" wrapText="1"/>
    </xf>
    <xf numFmtId="10" fontId="13" fillId="0" borderId="0" xfId="5" applyNumberFormat="1" applyFont="1" applyAlignment="1">
      <alignment horizontal="right" wrapText="1"/>
    </xf>
    <xf numFmtId="10" fontId="13" fillId="0" borderId="0" xfId="5" applyNumberFormat="1" applyFont="1" applyBorder="1" applyAlignment="1">
      <alignment horizontal="right" wrapText="1"/>
    </xf>
    <xf numFmtId="38" fontId="20" fillId="0" borderId="13" xfId="0" quotePrefix="1" applyNumberFormat="1" applyFont="1" applyBorder="1" applyAlignment="1">
      <alignment horizontal="centerContinuous"/>
    </xf>
    <xf numFmtId="0" fontId="0" fillId="0" borderId="0" xfId="0" applyFill="1" applyAlignment="1">
      <alignment horizontal="left" indent="1"/>
    </xf>
    <xf numFmtId="0" fontId="25" fillId="35" borderId="33" xfId="48" applyFont="1" applyFill="1" applyBorder="1" applyAlignment="1" applyProtection="1">
      <alignment horizontal="left"/>
      <protection locked="0"/>
    </xf>
    <xf numFmtId="0" fontId="25" fillId="35" borderId="34" xfId="48" applyFont="1" applyFill="1" applyBorder="1" applyAlignment="1" applyProtection="1">
      <alignment horizontal="left"/>
      <protection locked="0"/>
    </xf>
    <xf numFmtId="0" fontId="26" fillId="36" borderId="28" xfId="50" applyFont="1" applyBorder="1" applyAlignment="1">
      <alignment horizontal="right"/>
    </xf>
    <xf numFmtId="0" fontId="26" fillId="36" borderId="29" xfId="50" applyFont="1" applyBorder="1" applyAlignment="1">
      <alignment horizontal="right"/>
    </xf>
    <xf numFmtId="0" fontId="26" fillId="36" borderId="30" xfId="50" applyFont="1" applyBorder="1" applyAlignment="1">
      <alignment horizontal="right"/>
    </xf>
  </cellXfs>
  <cellStyles count="53">
    <cellStyle name="20% - Accent1" xfId="24" builtinId="30" customBuiltin="1"/>
    <cellStyle name="20% - Accent2" xfId="28" builtinId="34" customBuiltin="1"/>
    <cellStyle name="20% - Accent3" xfId="32" builtinId="38" customBuiltin="1"/>
    <cellStyle name="20% - Accent3 2" xfId="50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alculation 2" xfId="52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Currency 2" xfId="49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Input 2" xfId="51"/>
    <cellStyle name="Linked Cell" xfId="17" builtinId="24" customBuiltin="1"/>
    <cellStyle name="Neutral" xfId="13" builtinId="28" customBuiltin="1"/>
    <cellStyle name="Normal" xfId="0" builtinId="0" customBuiltin="1"/>
    <cellStyle name="Normal 2" xfId="47"/>
    <cellStyle name="Normal 3" xfId="48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an%20amortization%20schedule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n Amortization Schedule"/>
    </sheetNames>
    <sheetDataSet>
      <sheetData sheetId="0">
        <row r="5">
          <cell r="D5">
            <v>1000000</v>
          </cell>
        </row>
        <row r="6">
          <cell r="D6">
            <v>4.5999999999999999E-2</v>
          </cell>
        </row>
        <row r="7">
          <cell r="D7">
            <v>20</v>
          </cell>
        </row>
        <row r="9">
          <cell r="D9">
            <v>43466</v>
          </cell>
        </row>
        <row r="18">
          <cell r="I18">
            <v>997452.73296055687</v>
          </cell>
        </row>
        <row r="19">
          <cell r="I19">
            <v>994895.70139746252</v>
          </cell>
        </row>
        <row r="20">
          <cell r="I20">
            <v>992328.86788004299</v>
          </cell>
        </row>
        <row r="21">
          <cell r="I21">
            <v>989752.19483414001</v>
          </cell>
        </row>
        <row r="22">
          <cell r="I22">
            <v>987165.64454156114</v>
          </cell>
        </row>
        <row r="23">
          <cell r="I23">
            <v>984569.17913952738</v>
          </cell>
        </row>
        <row r="24">
          <cell r="I24">
            <v>981962.76062011905</v>
          </cell>
        </row>
        <row r="25">
          <cell r="I25">
            <v>979346.35082971968</v>
          </cell>
        </row>
        <row r="26">
          <cell r="I26">
            <v>976719.9114684572</v>
          </cell>
        </row>
        <row r="27">
          <cell r="I27">
            <v>974083.40408964315</v>
          </cell>
        </row>
        <row r="28">
          <cell r="I28">
            <v>971436.79009921034</v>
          </cell>
        </row>
        <row r="29">
          <cell r="I29">
            <v>968780.03075514757</v>
          </cell>
        </row>
        <row r="30">
          <cell r="I30">
            <v>966113.08716693253</v>
          </cell>
        </row>
        <row r="31">
          <cell r="I31">
            <v>963435.92029496259</v>
          </cell>
        </row>
        <row r="32">
          <cell r="I32">
            <v>960748.49094998348</v>
          </cell>
        </row>
        <row r="33">
          <cell r="I33">
            <v>958050.75979251531</v>
          </cell>
        </row>
        <row r="34">
          <cell r="I34">
            <v>955342.68733227684</v>
          </cell>
        </row>
        <row r="35">
          <cell r="I35">
            <v>952624.23392760742</v>
          </cell>
        </row>
        <row r="36">
          <cell r="I36">
            <v>949895.35978488682</v>
          </cell>
        </row>
        <row r="37">
          <cell r="I37">
            <v>947156.02495795244</v>
          </cell>
        </row>
        <row r="38">
          <cell r="I38">
            <v>944406.18934751477</v>
          </cell>
        </row>
        <row r="39">
          <cell r="I39">
            <v>941645.81270057044</v>
          </cell>
        </row>
        <row r="40">
          <cell r="I40">
            <v>938874.85460981284</v>
          </cell>
        </row>
        <row r="41">
          <cell r="I41">
            <v>936093.27451304067</v>
          </cell>
        </row>
        <row r="42">
          <cell r="I42">
            <v>933301.03169256414</v>
          </cell>
        </row>
        <row r="43">
          <cell r="I43">
            <v>930498.08527460916</v>
          </cell>
        </row>
        <row r="44">
          <cell r="I44">
            <v>927684.39422871871</v>
          </cell>
        </row>
        <row r="45">
          <cell r="I45">
            <v>924859.91736715229</v>
          </cell>
        </row>
        <row r="46">
          <cell r="I46">
            <v>922024.61334428319</v>
          </cell>
        </row>
        <row r="47">
          <cell r="I47">
            <v>919178.44065599318</v>
          </cell>
        </row>
        <row r="48">
          <cell r="I48">
            <v>916321.35763906466</v>
          </cell>
        </row>
        <row r="49">
          <cell r="I49">
            <v>913453.32247057126</v>
          </cell>
        </row>
        <row r="50">
          <cell r="I50">
            <v>910574.29316726536</v>
          </cell>
        </row>
        <row r="51">
          <cell r="I51">
            <v>907684.22758496343</v>
          </cell>
        </row>
        <row r="52">
          <cell r="I52">
            <v>904783.08341792936</v>
          </cell>
        </row>
        <row r="53">
          <cell r="I53">
            <v>901870.81819825491</v>
          </cell>
        </row>
        <row r="54">
          <cell r="I54">
            <v>898947.38929523842</v>
          </cell>
        </row>
        <row r="55">
          <cell r="I55">
            <v>896012.75391476043</v>
          </cell>
        </row>
        <row r="56">
          <cell r="I56">
            <v>893066.86909865716</v>
          </cell>
        </row>
        <row r="57">
          <cell r="I57">
            <v>890109.69172409223</v>
          </cell>
        </row>
        <row r="58">
          <cell r="I58">
            <v>887141.17850292474</v>
          </cell>
        </row>
        <row r="59">
          <cell r="I59">
            <v>884161.28598107619</v>
          </cell>
        </row>
        <row r="60">
          <cell r="I60">
            <v>881169.97053789382</v>
          </cell>
        </row>
        <row r="61">
          <cell r="I61">
            <v>878167.18838551256</v>
          </cell>
        </row>
        <row r="62">
          <cell r="I62">
            <v>875152.89556821389</v>
          </cell>
        </row>
        <row r="63">
          <cell r="I63">
            <v>872127.0479617822</v>
          </cell>
        </row>
        <row r="64">
          <cell r="I64">
            <v>869089.60127285926</v>
          </cell>
        </row>
        <row r="65">
          <cell r="I65">
            <v>866040.51103829546</v>
          </cell>
        </row>
        <row r="66">
          <cell r="I66">
            <v>862979.73262449913</v>
          </cell>
        </row>
        <row r="67">
          <cell r="I67">
            <v>859907.22122678324</v>
          </cell>
        </row>
        <row r="68">
          <cell r="I68">
            <v>856822.93186870939</v>
          </cell>
        </row>
        <row r="69">
          <cell r="I69">
            <v>853726.81940142962</v>
          </cell>
        </row>
        <row r="70">
          <cell r="I70">
            <v>850618.83850302536</v>
          </cell>
        </row>
        <row r="71">
          <cell r="I71">
            <v>847498.94367784378</v>
          </cell>
        </row>
        <row r="72">
          <cell r="I72">
            <v>844367.08925583237</v>
          </cell>
        </row>
        <row r="73">
          <cell r="I73">
            <v>841223.22939186997</v>
          </cell>
        </row>
        <row r="74">
          <cell r="I74">
            <v>838067.31806509569</v>
          </cell>
        </row>
        <row r="75">
          <cell r="I75">
            <v>834899.30907823541</v>
          </cell>
        </row>
        <row r="76">
          <cell r="I76">
            <v>831719.15605692554</v>
          </cell>
        </row>
        <row r="77">
          <cell r="I77">
            <v>828526.81244903395</v>
          </cell>
        </row>
        <row r="78">
          <cell r="I78">
            <v>825322.23152397876</v>
          </cell>
        </row>
        <row r="79">
          <cell r="I79">
            <v>822105.3663720442</v>
          </cell>
        </row>
        <row r="80">
          <cell r="I80">
            <v>818876.16990369395</v>
          </cell>
        </row>
        <row r="81">
          <cell r="I81">
            <v>815634.59484888159</v>
          </cell>
        </row>
        <row r="82">
          <cell r="I82">
            <v>812380.59375635919</v>
          </cell>
        </row>
        <row r="83">
          <cell r="I83">
            <v>809114.11899298208</v>
          </cell>
        </row>
        <row r="84">
          <cell r="I84">
            <v>805835.12274301203</v>
          </cell>
        </row>
        <row r="85">
          <cell r="I85">
            <v>802543.55700741708</v>
          </cell>
        </row>
        <row r="86">
          <cell r="I86">
            <v>799239.37360316911</v>
          </cell>
        </row>
        <row r="87">
          <cell r="I87">
            <v>795922.52416253812</v>
          </cell>
        </row>
        <row r="88">
          <cell r="I88">
            <v>792592.96013238467</v>
          </cell>
        </row>
        <row r="89">
          <cell r="I89">
            <v>789250.63277344906</v>
          </cell>
        </row>
        <row r="90">
          <cell r="I90">
            <v>785895.49315963744</v>
          </cell>
        </row>
        <row r="91">
          <cell r="I91">
            <v>782527.49217730621</v>
          </cell>
        </row>
        <row r="92">
          <cell r="I92">
            <v>779146.58052454272</v>
          </cell>
        </row>
        <row r="93">
          <cell r="I93">
            <v>775752.70871044369</v>
          </cell>
        </row>
        <row r="94">
          <cell r="I94">
            <v>772345.82705439057</v>
          </cell>
        </row>
        <row r="95">
          <cell r="I95">
            <v>768925.88568532257</v>
          </cell>
        </row>
        <row r="96">
          <cell r="I96">
            <v>765492.83454100648</v>
          </cell>
        </row>
        <row r="97">
          <cell r="I97">
            <v>762046.62336730387</v>
          </cell>
        </row>
        <row r="98">
          <cell r="I98">
            <v>758587.20171743538</v>
          </cell>
        </row>
        <row r="99">
          <cell r="I99">
            <v>755114.51895124244</v>
          </cell>
        </row>
        <row r="100">
          <cell r="I100">
            <v>751628.52423444577</v>
          </cell>
        </row>
        <row r="101">
          <cell r="I101">
            <v>748129.16653790139</v>
          </cell>
        </row>
        <row r="102">
          <cell r="I102">
            <v>744616.3946368536</v>
          </cell>
        </row>
        <row r="103">
          <cell r="I103">
            <v>741090.15711018513</v>
          </cell>
        </row>
        <row r="104">
          <cell r="I104">
            <v>737550.4023396644</v>
          </cell>
        </row>
        <row r="105">
          <cell r="I105">
            <v>733997.07850919</v>
          </cell>
        </row>
        <row r="106">
          <cell r="I106">
            <v>730430.1336040321</v>
          </cell>
        </row>
        <row r="107">
          <cell r="I107">
            <v>726849.51541007112</v>
          </cell>
        </row>
        <row r="108">
          <cell r="I108">
            <v>723255.17151303322</v>
          </cell>
        </row>
        <row r="109">
          <cell r="I109">
            <v>719647.04929772334</v>
          </cell>
        </row>
        <row r="110">
          <cell r="I110">
            <v>716025.0959472548</v>
          </cell>
        </row>
        <row r="111">
          <cell r="I111">
            <v>712389.25844227616</v>
          </cell>
        </row>
        <row r="112">
          <cell r="I112">
            <v>708739.48356019508</v>
          </cell>
        </row>
        <row r="113">
          <cell r="I113">
            <v>705075.71787439939</v>
          </cell>
        </row>
        <row r="114">
          <cell r="I114">
            <v>701397.90775347478</v>
          </cell>
        </row>
        <row r="115">
          <cell r="I115">
            <v>697705.99936041993</v>
          </cell>
        </row>
        <row r="116">
          <cell r="I116">
            <v>693999.93865185836</v>
          </cell>
        </row>
        <row r="117">
          <cell r="I117">
            <v>690279.67137724732</v>
          </cell>
        </row>
        <row r="118">
          <cell r="I118">
            <v>686545.14307808364</v>
          </cell>
        </row>
        <row r="119">
          <cell r="I119">
            <v>682796.29908710648</v>
          </cell>
        </row>
        <row r="120">
          <cell r="I120">
            <v>679033.0845274973</v>
          </cell>
        </row>
        <row r="121">
          <cell r="I121">
            <v>675255.4443120762</v>
          </cell>
        </row>
        <row r="122">
          <cell r="I122">
            <v>671463.32314249605</v>
          </cell>
        </row>
        <row r="123">
          <cell r="I123">
            <v>667656.66550843255</v>
          </cell>
        </row>
        <row r="124">
          <cell r="I124">
            <v>663835.41568677174</v>
          </cell>
        </row>
        <row r="125">
          <cell r="I125">
            <v>659999.51774079457</v>
          </cell>
        </row>
        <row r="126">
          <cell r="I126">
            <v>656148.91551935778</v>
          </cell>
        </row>
        <row r="127">
          <cell r="I127">
            <v>652283.55265607219</v>
          </cell>
        </row>
        <row r="128">
          <cell r="I128">
            <v>648403.37256847729</v>
          </cell>
        </row>
        <row r="129">
          <cell r="I129">
            <v>644508.31845721335</v>
          </cell>
        </row>
        <row r="130">
          <cell r="I130">
            <v>640598.3333051895</v>
          </cell>
        </row>
        <row r="131">
          <cell r="I131">
            <v>636673.35987674957</v>
          </cell>
        </row>
        <row r="132">
          <cell r="I132">
            <v>632733.34071683395</v>
          </cell>
        </row>
        <row r="133">
          <cell r="I133">
            <v>628778.21815013862</v>
          </cell>
        </row>
        <row r="134">
          <cell r="I134">
            <v>624807.93428027106</v>
          </cell>
        </row>
        <row r="135">
          <cell r="I135">
            <v>620822.43098890234</v>
          </cell>
        </row>
        <row r="136">
          <cell r="I136">
            <v>616821.64993491664</v>
          </cell>
        </row>
        <row r="137">
          <cell r="I137">
            <v>612805.53255355731</v>
          </cell>
        </row>
        <row r="138">
          <cell r="I138">
            <v>608774.02005556948</v>
          </cell>
        </row>
        <row r="139">
          <cell r="I139">
            <v>604727.05342633941</v>
          </cell>
        </row>
        <row r="140">
          <cell r="I140">
            <v>600664.57342503057</v>
          </cell>
        </row>
        <row r="141">
          <cell r="I141">
            <v>596586.52058371669</v>
          </cell>
        </row>
        <row r="142">
          <cell r="I142">
            <v>592492.83520651108</v>
          </cell>
        </row>
        <row r="143">
          <cell r="I143">
            <v>588383.45736869297</v>
          </cell>
        </row>
        <row r="144">
          <cell r="I144">
            <v>584258.32691582979</v>
          </cell>
        </row>
        <row r="145">
          <cell r="I145">
            <v>580117.38346289739</v>
          </cell>
        </row>
        <row r="146">
          <cell r="I146">
            <v>575960.5663933953</v>
          </cell>
        </row>
        <row r="147">
          <cell r="I147">
            <v>571787.81485846022</v>
          </cell>
        </row>
        <row r="148">
          <cell r="I148">
            <v>567599.06777597452</v>
          </cell>
        </row>
        <row r="149">
          <cell r="I149">
            <v>563394.26382967259</v>
          </cell>
        </row>
        <row r="150">
          <cell r="I150">
            <v>559173.34146824316</v>
          </cell>
        </row>
        <row r="151">
          <cell r="I151">
            <v>554936.23890442832</v>
          </cell>
        </row>
        <row r="152">
          <cell r="I152">
            <v>550682.89411411888</v>
          </cell>
        </row>
        <row r="153">
          <cell r="I153">
            <v>546413.24483544659</v>
          </cell>
        </row>
        <row r="154">
          <cell r="I154">
            <v>542127.22856787266</v>
          </cell>
        </row>
        <row r="155">
          <cell r="I155">
            <v>537824.78257127304</v>
          </cell>
        </row>
        <row r="156">
          <cell r="I156">
            <v>533505.84386501973</v>
          </cell>
        </row>
        <row r="157">
          <cell r="I157">
            <v>529170.34922705917</v>
          </cell>
        </row>
        <row r="158">
          <cell r="I158">
            <v>524818.23519298644</v>
          </cell>
        </row>
        <row r="159">
          <cell r="I159">
            <v>520449.43805511645</v>
          </cell>
        </row>
        <row r="160">
          <cell r="I160">
            <v>516063.89386155125</v>
          </cell>
        </row>
        <row r="161">
          <cell r="I161">
            <v>511661.53841524408</v>
          </cell>
        </row>
        <row r="162">
          <cell r="I162">
            <v>507242.30727305938</v>
          </cell>
        </row>
        <row r="163">
          <cell r="I163">
            <v>502806.13574482966</v>
          </cell>
        </row>
        <row r="164">
          <cell r="I164">
            <v>498352.95889240835</v>
          </cell>
        </row>
        <row r="165">
          <cell r="I165">
            <v>493882.71152871946</v>
          </cell>
        </row>
        <row r="166">
          <cell r="I166">
            <v>489395.32821680309</v>
          </cell>
        </row>
        <row r="167">
          <cell r="I167">
            <v>484890.74326885771</v>
          </cell>
        </row>
        <row r="168">
          <cell r="I168">
            <v>480368.89074527851</v>
          </cell>
        </row>
        <row r="169">
          <cell r="I169">
            <v>475829.70445369225</v>
          </cell>
        </row>
        <row r="170">
          <cell r="I170">
            <v>471273.11794798827</v>
          </cell>
        </row>
        <row r="171">
          <cell r="I171">
            <v>466699.06452734576</v>
          </cell>
        </row>
        <row r="172">
          <cell r="I172">
            <v>462107.47723525745</v>
          </cell>
        </row>
        <row r="173">
          <cell r="I173">
            <v>457498.28885854949</v>
          </cell>
        </row>
        <row r="174">
          <cell r="I174">
            <v>452871.43192639749</v>
          </cell>
        </row>
        <row r="175">
          <cell r="I175">
            <v>448226.83870933886</v>
          </cell>
        </row>
        <row r="176">
          <cell r="I176">
            <v>443564.44121828151</v>
          </cell>
        </row>
        <row r="177">
          <cell r="I177">
            <v>438884.17120350845</v>
          </cell>
        </row>
        <row r="178">
          <cell r="I178">
            <v>434185.96015367878</v>
          </cell>
        </row>
        <row r="179">
          <cell r="I179">
            <v>429469.73929482477</v>
          </cell>
        </row>
        <row r="180">
          <cell r="I180">
            <v>424735.43958934513</v>
          </cell>
        </row>
        <row r="181">
          <cell r="I181">
            <v>419982.99173499446</v>
          </cell>
        </row>
        <row r="182">
          <cell r="I182">
            <v>415212.32616386883</v>
          </cell>
        </row>
        <row r="183">
          <cell r="I183">
            <v>410423.37304138718</v>
          </cell>
        </row>
        <row r="184">
          <cell r="I184">
            <v>405616.06226526934</v>
          </cell>
        </row>
        <row r="185">
          <cell r="I185">
            <v>400790.32346450974</v>
          </cell>
        </row>
        <row r="186">
          <cell r="I186">
            <v>395946.0859983472</v>
          </cell>
        </row>
        <row r="187">
          <cell r="I187">
            <v>391083.27895523107</v>
          </cell>
        </row>
        <row r="188">
          <cell r="I188">
            <v>386201.831151783</v>
          </cell>
        </row>
        <row r="189">
          <cell r="I189">
            <v>381301.67113175505</v>
          </cell>
        </row>
        <row r="190">
          <cell r="I190">
            <v>376382.72716498363</v>
          </cell>
        </row>
        <row r="191">
          <cell r="I191">
            <v>371444.92724633962</v>
          </cell>
        </row>
        <row r="192">
          <cell r="I192">
            <v>366488.19909467414</v>
          </cell>
        </row>
        <row r="193">
          <cell r="I193">
            <v>361512.47015176062</v>
          </cell>
        </row>
        <row r="194">
          <cell r="I194">
            <v>356517.66758123256</v>
          </cell>
        </row>
        <row r="195">
          <cell r="I195">
            <v>351503.71826751746</v>
          </cell>
        </row>
        <row r="196">
          <cell r="I196">
            <v>346470.54881476646</v>
          </cell>
        </row>
        <row r="197">
          <cell r="I197">
            <v>341418.0855457799</v>
          </cell>
        </row>
        <row r="198">
          <cell r="I198">
            <v>336346.25450092892</v>
          </cell>
        </row>
        <row r="199">
          <cell r="I199">
            <v>331254.98143707268</v>
          </cell>
        </row>
        <row r="200">
          <cell r="I200">
            <v>326144.19182647165</v>
          </cell>
        </row>
        <row r="201">
          <cell r="I201">
            <v>321013.81085569668</v>
          </cell>
        </row>
        <row r="202">
          <cell r="I202">
            <v>315863.76342453371</v>
          </cell>
        </row>
        <row r="203">
          <cell r="I203">
            <v>310693.97414488462</v>
          </cell>
        </row>
        <row r="204">
          <cell r="I204">
            <v>305504.36733966356</v>
          </cell>
        </row>
        <row r="205">
          <cell r="I205">
            <v>300294.86704168911</v>
          </cell>
        </row>
        <row r="206">
          <cell r="I206">
            <v>295065.39699257247</v>
          </cell>
        </row>
        <row r="207">
          <cell r="I207">
            <v>289815.88064160087</v>
          </cell>
        </row>
        <row r="208">
          <cell r="I208">
            <v>284546.2411446172</v>
          </cell>
        </row>
        <row r="209">
          <cell r="I209">
            <v>279256.40136289509</v>
          </cell>
        </row>
        <row r="210">
          <cell r="I210">
            <v>273946.2838620097</v>
          </cell>
        </row>
        <row r="211">
          <cell r="I211">
            <v>268615.81091070425</v>
          </cell>
        </row>
        <row r="212">
          <cell r="I212">
            <v>263264.90447975218</v>
          </cell>
        </row>
        <row r="213">
          <cell r="I213">
            <v>257893.48624081476</v>
          </cell>
        </row>
        <row r="214">
          <cell r="I214">
            <v>252501.47756529474</v>
          </cell>
        </row>
        <row r="215">
          <cell r="I215">
            <v>247088.79952318524</v>
          </cell>
        </row>
        <row r="216">
          <cell r="I216">
            <v>241655.37288191431</v>
          </cell>
        </row>
        <row r="217">
          <cell r="I217">
            <v>236201.11810518519</v>
          </cell>
        </row>
        <row r="218">
          <cell r="I218">
            <v>230725.95535181192</v>
          </cell>
        </row>
        <row r="219">
          <cell r="I219">
            <v>225229.80447455074</v>
          </cell>
        </row>
        <row r="220">
          <cell r="I220">
            <v>219712.58501892671</v>
          </cell>
        </row>
        <row r="221">
          <cell r="I221">
            <v>214174.21622205613</v>
          </cell>
        </row>
        <row r="222">
          <cell r="I222">
            <v>208614.6170114642</v>
          </cell>
        </row>
        <row r="223">
          <cell r="I223">
            <v>203033.70600389835</v>
          </cell>
        </row>
        <row r="224">
          <cell r="I224">
            <v>197431.40150413683</v>
          </cell>
        </row>
        <row r="225">
          <cell r="I225">
            <v>191807.62150379288</v>
          </cell>
        </row>
        <row r="226">
          <cell r="I226">
            <v>186162.28368011428</v>
          </cell>
        </row>
        <row r="227">
          <cell r="I227">
            <v>180495.30539477826</v>
          </cell>
        </row>
        <row r="228">
          <cell r="I228">
            <v>174806.60369268179</v>
          </cell>
        </row>
        <row r="229">
          <cell r="I229">
            <v>169096.09530072726</v>
          </cell>
        </row>
        <row r="230">
          <cell r="I230">
            <v>163363.69662660357</v>
          </cell>
        </row>
        <row r="231">
          <cell r="I231">
            <v>157609.32375756244</v>
          </cell>
        </row>
        <row r="232">
          <cell r="I232">
            <v>151832.89245918996</v>
          </cell>
        </row>
        <row r="233">
          <cell r="I233">
            <v>146034.31817417371</v>
          </cell>
        </row>
        <row r="234">
          <cell r="I234">
            <v>140213.51602106492</v>
          </cell>
        </row>
        <row r="235">
          <cell r="I235">
            <v>134370.40079303586</v>
          </cell>
        </row>
        <row r="236">
          <cell r="I236">
            <v>128504.8869566327</v>
          </cell>
        </row>
        <row r="237">
          <cell r="I237">
            <v>122616.88865052334</v>
          </cell>
        </row>
        <row r="238">
          <cell r="I238">
            <v>116706.31968424055</v>
          </cell>
        </row>
        <row r="239">
          <cell r="I239">
            <v>110773.09353692034</v>
          </cell>
        </row>
        <row r="240">
          <cell r="I240">
            <v>104817.1233560354</v>
          </cell>
        </row>
        <row r="241">
          <cell r="I241">
            <v>98838.321956123735</v>
          </cell>
        </row>
        <row r="242">
          <cell r="I242">
            <v>92836.601817512405</v>
          </cell>
        </row>
        <row r="243">
          <cell r="I243">
            <v>86811.875085036401</v>
          </cell>
        </row>
        <row r="244">
          <cell r="I244">
            <v>80764.053566752584</v>
          </cell>
        </row>
        <row r="245">
          <cell r="I245">
            <v>74693.048732648676</v>
          </cell>
        </row>
        <row r="246">
          <cell r="I246">
            <v>68598.771713347363</v>
          </cell>
        </row>
        <row r="247">
          <cell r="I247">
            <v>62481.133298805398</v>
          </cell>
        </row>
        <row r="248">
          <cell r="I248">
            <v>56340.043937007686</v>
          </cell>
        </row>
        <row r="249">
          <cell r="I249">
            <v>50175.413732656416</v>
          </cell>
        </row>
        <row r="250">
          <cell r="I250">
            <v>43987.152445855136</v>
          </cell>
        </row>
        <row r="251">
          <cell r="I251">
            <v>37775.169490787783</v>
          </cell>
        </row>
        <row r="252">
          <cell r="I252">
            <v>31539.373934392672</v>
          </cell>
        </row>
        <row r="253">
          <cell r="I253">
            <v>25279.674495031381</v>
          </cell>
        </row>
        <row r="254">
          <cell r="I254">
            <v>18995.979541152537</v>
          </cell>
        </row>
        <row r="255">
          <cell r="I255">
            <v>12688.197089950492</v>
          </cell>
        </row>
        <row r="256">
          <cell r="I256">
            <v>6356.2348060188378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4">
          <cell r="I374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4">
          <cell r="I424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6">
          <cell r="I446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0">
          <cell r="I450">
            <v>0</v>
          </cell>
        </row>
        <row r="451">
          <cell r="I451">
            <v>0</v>
          </cell>
        </row>
        <row r="452">
          <cell r="I452">
            <v>0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</v>
          </cell>
        </row>
        <row r="469">
          <cell r="I469">
            <v>0</v>
          </cell>
        </row>
        <row r="470">
          <cell r="I470">
            <v>0</v>
          </cell>
        </row>
        <row r="471">
          <cell r="I471">
            <v>0</v>
          </cell>
        </row>
        <row r="472">
          <cell r="I472">
            <v>0</v>
          </cell>
        </row>
        <row r="473">
          <cell r="I473">
            <v>0</v>
          </cell>
        </row>
        <row r="474">
          <cell r="I474">
            <v>0</v>
          </cell>
        </row>
        <row r="475">
          <cell r="I475">
            <v>0</v>
          </cell>
        </row>
        <row r="476">
          <cell r="I476">
            <v>0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0</v>
          </cell>
        </row>
        <row r="493">
          <cell r="I493">
            <v>0</v>
          </cell>
        </row>
        <row r="494">
          <cell r="I494">
            <v>0</v>
          </cell>
        </row>
        <row r="495">
          <cell r="I495">
            <v>0</v>
          </cell>
        </row>
        <row r="496">
          <cell r="I496">
            <v>0</v>
          </cell>
        </row>
        <row r="497">
          <cell r="I49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98"/>
  <sheetViews>
    <sheetView topLeftCell="A4" zoomScaleNormal="100" workbookViewId="0">
      <pane xSplit="1" topLeftCell="B1" activePane="topRight" state="frozen"/>
      <selection pane="topRight" activeCell="A53" sqref="A53"/>
    </sheetView>
  </sheetViews>
  <sheetFormatPr defaultRowHeight="10.5" x14ac:dyDescent="0.15"/>
  <cols>
    <col min="1" max="1" width="59.6640625" style="1" bestFit="1" customWidth="1"/>
    <col min="2" max="2" width="19.33203125" style="23" customWidth="1"/>
    <col min="3" max="3" width="2.83203125" style="23" customWidth="1"/>
    <col min="4" max="4" width="11.5" style="23" bestFit="1" customWidth="1"/>
    <col min="5" max="5" width="2.83203125" style="23" customWidth="1"/>
    <col min="6" max="6" width="11.5" style="23" bestFit="1" customWidth="1"/>
    <col min="7" max="7" width="2.83203125" style="23" customWidth="1"/>
    <col min="8" max="8" width="11.83203125" style="23" bestFit="1" customWidth="1"/>
    <col min="9" max="9" width="2.83203125" style="23" customWidth="1"/>
    <col min="10" max="10" width="14.83203125" style="17" bestFit="1" customWidth="1"/>
    <col min="11" max="11" width="2.83203125" style="23" customWidth="1"/>
    <col min="12" max="12" width="14.83203125" style="17" customWidth="1"/>
    <col min="13" max="13" width="2.83203125" style="21" customWidth="1"/>
    <col min="14" max="14" width="14.83203125" style="17" bestFit="1" customWidth="1"/>
    <col min="15" max="15" width="2.83203125" style="21" customWidth="1"/>
    <col min="16" max="16" width="16.33203125" style="17" bestFit="1" customWidth="1"/>
    <col min="17" max="17" width="2.83203125" style="10" customWidth="1"/>
    <col min="18" max="18" width="16.33203125" style="17" bestFit="1" customWidth="1"/>
    <col min="19" max="19" width="2.83203125" style="21" customWidth="1"/>
    <col min="20" max="20" width="16.33203125" style="17" bestFit="1" customWidth="1"/>
    <col min="21" max="21" width="2.83203125" style="21" customWidth="1"/>
    <col min="22" max="22" width="16.33203125" style="17" bestFit="1" customWidth="1"/>
    <col min="23" max="16384" width="9.33203125" style="9"/>
  </cols>
  <sheetData>
    <row r="1" spans="1:22" ht="15" x14ac:dyDescent="0.2">
      <c r="A1" s="16" t="s">
        <v>307</v>
      </c>
      <c r="B1" s="22"/>
      <c r="C1" s="22"/>
      <c r="D1" s="22"/>
      <c r="E1" s="22"/>
      <c r="F1" s="22"/>
      <c r="G1" s="22"/>
      <c r="H1" s="22"/>
      <c r="I1" s="22"/>
      <c r="J1" s="19"/>
      <c r="K1" s="22"/>
      <c r="L1" s="19"/>
      <c r="M1" s="15"/>
      <c r="N1" s="19"/>
      <c r="O1" s="15"/>
      <c r="P1" s="19"/>
      <c r="Q1" s="15"/>
      <c r="R1" s="19"/>
      <c r="S1" s="15"/>
      <c r="T1" s="19"/>
      <c r="U1" s="15"/>
      <c r="V1" s="19"/>
    </row>
    <row r="2" spans="1:22" ht="15" x14ac:dyDescent="0.2">
      <c r="A2" s="16" t="s">
        <v>112</v>
      </c>
      <c r="B2" s="22"/>
      <c r="C2" s="22"/>
      <c r="D2" s="22"/>
      <c r="E2" s="22"/>
      <c r="F2" s="22"/>
      <c r="G2" s="22"/>
      <c r="H2" s="22"/>
      <c r="I2" s="22"/>
      <c r="J2" s="19"/>
      <c r="K2" s="22"/>
      <c r="L2" s="19"/>
      <c r="M2" s="15"/>
      <c r="N2" s="19"/>
      <c r="O2" s="15"/>
      <c r="P2" s="19"/>
      <c r="Q2" s="15"/>
      <c r="R2" s="19"/>
      <c r="S2" s="15"/>
      <c r="T2" s="19"/>
      <c r="U2" s="15"/>
      <c r="V2" s="19"/>
    </row>
    <row r="3" spans="1:22" ht="15" x14ac:dyDescent="0.2">
      <c r="A3" s="16"/>
      <c r="B3" s="22"/>
      <c r="C3" s="22"/>
      <c r="D3" s="22"/>
      <c r="E3" s="22"/>
      <c r="F3" s="22"/>
      <c r="G3" s="22"/>
      <c r="H3" s="22"/>
      <c r="I3" s="22"/>
      <c r="J3" s="19"/>
      <c r="K3" s="22"/>
      <c r="L3" s="19"/>
      <c r="M3" s="15"/>
      <c r="N3" s="19"/>
      <c r="O3" s="15"/>
      <c r="P3" s="19"/>
      <c r="Q3" s="15"/>
      <c r="R3" s="19"/>
      <c r="S3" s="15"/>
      <c r="T3" s="19"/>
      <c r="U3" s="15"/>
      <c r="V3" s="19"/>
    </row>
    <row r="4" spans="1:22" s="20" customFormat="1" ht="15" x14ac:dyDescent="0.2">
      <c r="A4" s="16"/>
      <c r="B4" s="114"/>
      <c r="C4" s="114"/>
      <c r="D4" s="114"/>
      <c r="E4" s="114"/>
      <c r="F4" s="114"/>
      <c r="G4" s="114"/>
      <c r="H4" s="114"/>
      <c r="I4" s="22"/>
      <c r="J4" s="19"/>
      <c r="K4" s="22"/>
      <c r="L4" s="19"/>
      <c r="M4" s="15"/>
      <c r="N4" s="19"/>
      <c r="O4" s="15"/>
      <c r="P4" s="19"/>
      <c r="Q4" s="15"/>
      <c r="R4" s="19"/>
      <c r="S4" s="15"/>
      <c r="T4" s="19"/>
      <c r="U4" s="15"/>
      <c r="V4" s="19"/>
    </row>
    <row r="5" spans="1:22" ht="15" x14ac:dyDescent="0.2">
      <c r="B5" s="110" t="s">
        <v>113</v>
      </c>
      <c r="C5" s="111"/>
      <c r="D5" s="112"/>
      <c r="E5" s="111"/>
      <c r="F5" s="115"/>
      <c r="G5" s="111"/>
      <c r="H5" s="115"/>
      <c r="I5" s="111"/>
      <c r="J5" s="110"/>
      <c r="K5" s="40"/>
      <c r="L5" s="204" t="s">
        <v>113</v>
      </c>
      <c r="M5" s="40"/>
      <c r="N5" s="113" t="s">
        <v>209</v>
      </c>
      <c r="O5" s="40"/>
      <c r="P5" s="145" t="s">
        <v>148</v>
      </c>
      <c r="Q5" s="38"/>
      <c r="R5" s="41"/>
      <c r="S5" s="38"/>
      <c r="T5" s="41"/>
      <c r="U5" s="38"/>
      <c r="V5" s="41"/>
    </row>
    <row r="6" spans="1:22" ht="25.5" customHeight="1" x14ac:dyDescent="0.2">
      <c r="A6" s="2"/>
      <c r="B6" s="85" t="s">
        <v>114</v>
      </c>
      <c r="C6" s="24"/>
      <c r="D6" s="85" t="s">
        <v>91</v>
      </c>
      <c r="E6" s="24"/>
      <c r="F6" s="85" t="s">
        <v>90</v>
      </c>
      <c r="G6" s="24"/>
      <c r="H6" s="18">
        <v>2016</v>
      </c>
      <c r="I6" s="24"/>
      <c r="J6" s="18">
        <v>2017</v>
      </c>
      <c r="K6" s="44"/>
      <c r="L6" s="18">
        <v>2018</v>
      </c>
      <c r="M6" s="44"/>
      <c r="N6" s="18">
        <v>2019</v>
      </c>
      <c r="O6" s="44"/>
      <c r="P6" s="18">
        <v>2020</v>
      </c>
      <c r="Q6" s="5"/>
      <c r="R6" s="18">
        <v>2021</v>
      </c>
      <c r="S6" s="5"/>
      <c r="T6" s="18">
        <v>2022</v>
      </c>
      <c r="U6" s="5"/>
      <c r="V6" s="18">
        <v>2023</v>
      </c>
    </row>
    <row r="7" spans="1:22" x14ac:dyDescent="0.15">
      <c r="A7" s="2"/>
      <c r="B7" s="25"/>
      <c r="C7" s="25"/>
      <c r="D7" s="25"/>
      <c r="E7" s="25"/>
      <c r="F7" s="25"/>
      <c r="G7" s="25"/>
      <c r="H7" s="25"/>
      <c r="I7" s="25"/>
      <c r="K7" s="50"/>
      <c r="M7" s="50"/>
      <c r="O7" s="50"/>
      <c r="Q7" s="3"/>
      <c r="S7" s="3"/>
      <c r="U7" s="3"/>
    </row>
    <row r="8" spans="1:22" ht="12.75" customHeight="1" x14ac:dyDescent="0.15">
      <c r="A8" s="14" t="s">
        <v>0</v>
      </c>
      <c r="B8" s="28"/>
      <c r="C8" s="28"/>
      <c r="D8" s="28"/>
      <c r="E8" s="28"/>
      <c r="F8" s="28"/>
      <c r="G8" s="28"/>
      <c r="H8" s="28"/>
      <c r="I8" s="28"/>
      <c r="J8" s="27"/>
      <c r="K8" s="55"/>
      <c r="L8" s="27"/>
      <c r="M8" s="55"/>
      <c r="N8" s="27"/>
      <c r="O8" s="55"/>
      <c r="P8" s="27"/>
      <c r="Q8" s="28"/>
      <c r="R8" s="27"/>
      <c r="S8" s="28"/>
      <c r="T8" s="27"/>
      <c r="U8" s="28"/>
      <c r="V8" s="27"/>
    </row>
    <row r="9" spans="1:22" ht="12.75" customHeight="1" x14ac:dyDescent="0.15">
      <c r="A9" s="14" t="s">
        <v>1</v>
      </c>
      <c r="B9" s="28"/>
      <c r="C9" s="28"/>
      <c r="D9" s="28"/>
      <c r="E9" s="28"/>
      <c r="F9" s="28"/>
      <c r="G9" s="28"/>
      <c r="H9" s="28"/>
      <c r="I9" s="28"/>
      <c r="J9" s="27"/>
      <c r="K9" s="61"/>
      <c r="L9" s="27"/>
      <c r="M9" s="61"/>
      <c r="N9" s="27"/>
      <c r="O9" s="61"/>
      <c r="P9" s="27"/>
      <c r="Q9" s="28"/>
      <c r="R9" s="27"/>
      <c r="S9" s="28"/>
      <c r="T9" s="27"/>
      <c r="U9" s="28"/>
      <c r="V9" s="27"/>
    </row>
    <row r="10" spans="1:22" ht="12.75" hidden="1" customHeight="1" x14ac:dyDescent="0.15">
      <c r="A10" s="14" t="s">
        <v>2</v>
      </c>
      <c r="B10" s="28"/>
      <c r="C10" s="28"/>
      <c r="D10" s="28"/>
      <c r="E10" s="28"/>
      <c r="F10" s="28"/>
      <c r="G10" s="28"/>
      <c r="H10" s="28"/>
      <c r="I10" s="28"/>
      <c r="J10" s="27"/>
      <c r="K10" s="61"/>
      <c r="L10" s="27"/>
      <c r="M10" s="61"/>
      <c r="N10" s="27"/>
      <c r="O10" s="61"/>
      <c r="P10" s="27"/>
      <c r="Q10" s="28"/>
      <c r="R10" s="27"/>
      <c r="S10" s="28"/>
      <c r="T10" s="27"/>
      <c r="U10" s="28"/>
      <c r="V10" s="27"/>
    </row>
    <row r="11" spans="1:22" ht="12.75" hidden="1" customHeight="1" x14ac:dyDescent="0.15">
      <c r="A11" s="14" t="s">
        <v>3</v>
      </c>
      <c r="B11" s="28"/>
      <c r="C11" s="28"/>
      <c r="D11" s="28"/>
      <c r="E11" s="28"/>
      <c r="F11" s="28"/>
      <c r="G11" s="28"/>
      <c r="H11" s="28"/>
      <c r="I11" s="28"/>
      <c r="J11" s="27"/>
      <c r="K11" s="61"/>
      <c r="L11" s="27"/>
      <c r="M11" s="61"/>
      <c r="N11" s="27"/>
      <c r="O11" s="61"/>
      <c r="P11" s="27"/>
      <c r="Q11" s="28"/>
      <c r="R11" s="27"/>
      <c r="S11" s="28"/>
      <c r="T11" s="27"/>
      <c r="U11" s="28"/>
      <c r="V11" s="27"/>
    </row>
    <row r="12" spans="1:22" ht="12.75" hidden="1" customHeight="1" x14ac:dyDescent="0.15">
      <c r="A12" s="14" t="s">
        <v>4</v>
      </c>
      <c r="B12" s="28"/>
      <c r="C12" s="28"/>
      <c r="D12" s="28"/>
      <c r="E12" s="28"/>
      <c r="F12" s="28"/>
      <c r="G12" s="28"/>
      <c r="H12" s="28"/>
      <c r="I12" s="28"/>
      <c r="J12" s="27"/>
      <c r="K12" s="61"/>
      <c r="L12" s="27"/>
      <c r="M12" s="61"/>
      <c r="N12" s="27"/>
      <c r="O12" s="61"/>
      <c r="P12" s="27"/>
      <c r="Q12" s="28"/>
      <c r="R12" s="27"/>
      <c r="S12" s="28"/>
      <c r="T12" s="27"/>
      <c r="U12" s="28"/>
      <c r="V12" s="27"/>
    </row>
    <row r="13" spans="1:22" ht="12.75" hidden="1" customHeight="1" x14ac:dyDescent="0.15">
      <c r="A13" s="14" t="s">
        <v>5</v>
      </c>
      <c r="B13" s="28"/>
      <c r="C13" s="28"/>
      <c r="D13" s="28"/>
      <c r="E13" s="28"/>
      <c r="F13" s="28"/>
      <c r="G13" s="28"/>
      <c r="H13" s="28"/>
      <c r="I13" s="28"/>
      <c r="J13" s="27"/>
      <c r="K13" s="61"/>
      <c r="L13" s="27"/>
      <c r="M13" s="61"/>
      <c r="N13" s="27"/>
      <c r="O13" s="61"/>
      <c r="P13" s="27"/>
      <c r="Q13" s="28"/>
      <c r="R13" s="27"/>
      <c r="S13" s="28"/>
      <c r="T13" s="27"/>
      <c r="U13" s="28"/>
      <c r="V13" s="27"/>
    </row>
    <row r="14" spans="1:22" ht="12.75" hidden="1" customHeight="1" x14ac:dyDescent="0.15">
      <c r="A14" s="14" t="s">
        <v>6</v>
      </c>
      <c r="B14" s="28"/>
      <c r="C14" s="28"/>
      <c r="D14" s="28"/>
      <c r="E14" s="28"/>
      <c r="F14" s="28"/>
      <c r="G14" s="28"/>
      <c r="H14" s="28"/>
      <c r="I14" s="28"/>
      <c r="J14" s="27"/>
      <c r="K14" s="61"/>
      <c r="L14" s="27"/>
      <c r="M14" s="61"/>
      <c r="N14" s="27"/>
      <c r="O14" s="61"/>
      <c r="P14" s="27"/>
      <c r="Q14" s="28"/>
      <c r="R14" s="27"/>
      <c r="S14" s="28"/>
      <c r="T14" s="27"/>
      <c r="U14" s="28"/>
      <c r="V14" s="27"/>
    </row>
    <row r="15" spans="1:22" ht="16.5" hidden="1" customHeight="1" x14ac:dyDescent="0.15">
      <c r="A15" s="14" t="s">
        <v>7</v>
      </c>
      <c r="B15" s="28"/>
      <c r="C15" s="28"/>
      <c r="D15" s="28"/>
      <c r="E15" s="28"/>
      <c r="F15" s="28"/>
      <c r="G15" s="28"/>
      <c r="H15" s="28"/>
      <c r="I15" s="28"/>
      <c r="J15" s="27"/>
      <c r="K15" s="61"/>
      <c r="L15" s="27"/>
      <c r="M15" s="61"/>
      <c r="N15" s="27"/>
      <c r="O15" s="61"/>
      <c r="P15" s="27"/>
      <c r="Q15" s="28"/>
      <c r="R15" s="27"/>
      <c r="S15" s="28"/>
      <c r="T15" s="27"/>
      <c r="U15" s="28"/>
      <c r="V15" s="27"/>
    </row>
    <row r="16" spans="1:22" ht="18" hidden="1" customHeight="1" x14ac:dyDescent="0.15">
      <c r="A16" s="14" t="s">
        <v>8</v>
      </c>
      <c r="B16" s="33"/>
      <c r="C16" s="28"/>
      <c r="D16" s="33"/>
      <c r="E16" s="28"/>
      <c r="F16" s="31"/>
      <c r="G16" s="28"/>
      <c r="H16" s="31"/>
      <c r="I16" s="28"/>
      <c r="J16" s="27"/>
      <c r="K16" s="61"/>
      <c r="L16" s="27"/>
      <c r="M16" s="61"/>
      <c r="N16" s="27"/>
      <c r="O16" s="61"/>
      <c r="P16" s="27"/>
      <c r="Q16" s="28"/>
      <c r="R16" s="27"/>
      <c r="S16" s="28"/>
      <c r="T16" s="27"/>
      <c r="U16" s="28"/>
      <c r="V16" s="27"/>
    </row>
    <row r="17" spans="1:24" ht="12.75" customHeight="1" x14ac:dyDescent="0.15">
      <c r="A17" s="14" t="s">
        <v>284</v>
      </c>
      <c r="B17" s="28">
        <v>3829432</v>
      </c>
      <c r="C17" s="28"/>
      <c r="D17" s="35">
        <v>717103</v>
      </c>
      <c r="E17" s="35"/>
      <c r="F17" s="35">
        <v>748016</v>
      </c>
      <c r="G17" s="35"/>
      <c r="H17" s="27">
        <v>9559199</v>
      </c>
      <c r="I17" s="35"/>
      <c r="J17" s="173">
        <f>+'CF Summary '!C29-J24</f>
        <v>8937231.4900000002</v>
      </c>
      <c r="K17" s="61"/>
      <c r="L17" s="173">
        <f>+'CF Summary '!E29-L24</f>
        <v>6532284.9699999988</v>
      </c>
      <c r="M17" s="61"/>
      <c r="N17" s="173">
        <f>+'CF Summary '!G29-N24</f>
        <v>9634598.0935602766</v>
      </c>
      <c r="O17" s="61"/>
      <c r="P17" s="173">
        <f>+'CF Summary '!I29-P24</f>
        <v>7400347.6437493898</v>
      </c>
      <c r="Q17" s="99"/>
      <c r="R17" s="173">
        <f>+'CF Summary '!K29-R24</f>
        <v>7786034.3508937471</v>
      </c>
      <c r="S17" s="99"/>
      <c r="T17" s="173">
        <f>+'CF Summary '!M29-T24</f>
        <v>6350092.4001570866</v>
      </c>
      <c r="U17" s="99"/>
      <c r="V17" s="173">
        <f>+'CF Summary '!O29-V24</f>
        <v>5432307.9135358091</v>
      </c>
      <c r="W17" s="8"/>
    </row>
    <row r="18" spans="1:24" ht="12.75" hidden="1" customHeight="1" x14ac:dyDescent="0.15">
      <c r="A18" s="14" t="s">
        <v>9</v>
      </c>
      <c r="B18" s="28"/>
      <c r="C18" s="28"/>
      <c r="D18" s="35"/>
      <c r="E18" s="35"/>
      <c r="F18" s="35"/>
      <c r="G18" s="35"/>
      <c r="H18" s="27"/>
      <c r="I18" s="35"/>
      <c r="J18" s="164"/>
      <c r="K18" s="61"/>
      <c r="L18" s="164"/>
      <c r="M18" s="61"/>
      <c r="N18" s="164"/>
      <c r="O18" s="61"/>
      <c r="P18" s="173"/>
      <c r="Q18" s="99"/>
      <c r="R18" s="173"/>
      <c r="S18" s="99"/>
      <c r="T18" s="173"/>
      <c r="U18" s="99"/>
      <c r="V18" s="173"/>
      <c r="W18" s="8"/>
    </row>
    <row r="19" spans="1:24" ht="12.75" hidden="1" customHeight="1" x14ac:dyDescent="0.15">
      <c r="A19" s="14" t="s">
        <v>10</v>
      </c>
      <c r="B19" s="28"/>
      <c r="C19" s="28"/>
      <c r="D19" s="35"/>
      <c r="E19" s="35"/>
      <c r="F19" s="35"/>
      <c r="G19" s="35"/>
      <c r="H19" s="27">
        <v>85747.18</v>
      </c>
      <c r="I19" s="35"/>
      <c r="J19" s="164">
        <v>85747.18</v>
      </c>
      <c r="K19" s="61"/>
      <c r="L19" s="164"/>
      <c r="M19" s="61"/>
      <c r="N19" s="164"/>
      <c r="O19" s="61"/>
      <c r="P19" s="173"/>
      <c r="Q19" s="99"/>
      <c r="R19" s="173"/>
      <c r="S19" s="99"/>
      <c r="T19" s="173"/>
      <c r="U19" s="99"/>
      <c r="V19" s="173"/>
      <c r="W19" s="8"/>
    </row>
    <row r="20" spans="1:24" ht="12.75" hidden="1" customHeight="1" x14ac:dyDescent="0.15">
      <c r="A20" s="14" t="s">
        <v>11</v>
      </c>
      <c r="B20" s="28"/>
      <c r="C20" s="28"/>
      <c r="D20" s="35"/>
      <c r="E20" s="35"/>
      <c r="F20" s="35"/>
      <c r="G20" s="35"/>
      <c r="H20" s="27">
        <v>499392.43</v>
      </c>
      <c r="I20" s="35"/>
      <c r="J20" s="164">
        <v>499392.43</v>
      </c>
      <c r="K20" s="61"/>
      <c r="L20" s="164"/>
      <c r="M20" s="61"/>
      <c r="N20" s="164"/>
      <c r="O20" s="61"/>
      <c r="P20" s="173"/>
      <c r="Q20" s="99"/>
      <c r="R20" s="173"/>
      <c r="S20" s="99"/>
      <c r="T20" s="173"/>
      <c r="U20" s="99"/>
      <c r="V20" s="173"/>
      <c r="W20" s="8"/>
    </row>
    <row r="21" spans="1:24" ht="12.75" hidden="1" customHeight="1" x14ac:dyDescent="0.15">
      <c r="A21" s="14" t="s">
        <v>12</v>
      </c>
      <c r="B21" s="28"/>
      <c r="C21" s="28"/>
      <c r="D21" s="35"/>
      <c r="E21" s="35"/>
      <c r="F21" s="35"/>
      <c r="G21" s="35"/>
      <c r="H21" s="27">
        <v>301.20999999999998</v>
      </c>
      <c r="I21" s="35"/>
      <c r="J21" s="164">
        <v>301.20999999999998</v>
      </c>
      <c r="K21" s="61"/>
      <c r="L21" s="164"/>
      <c r="M21" s="61"/>
      <c r="N21" s="164"/>
      <c r="O21" s="61"/>
      <c r="P21" s="173"/>
      <c r="Q21" s="99"/>
      <c r="R21" s="173"/>
      <c r="S21" s="99"/>
      <c r="T21" s="173"/>
      <c r="U21" s="99"/>
      <c r="V21" s="173"/>
      <c r="W21" s="8"/>
    </row>
    <row r="22" spans="1:24" ht="12.75" hidden="1" customHeight="1" x14ac:dyDescent="0.15">
      <c r="A22" s="14" t="s">
        <v>13</v>
      </c>
      <c r="B22" s="28"/>
      <c r="C22" s="28"/>
      <c r="D22" s="35"/>
      <c r="E22" s="35"/>
      <c r="F22" s="35"/>
      <c r="G22" s="35"/>
      <c r="H22" s="27">
        <v>690447.34</v>
      </c>
      <c r="I22" s="35"/>
      <c r="J22" s="164">
        <v>690447.34</v>
      </c>
      <c r="K22" s="61"/>
      <c r="L22" s="164"/>
      <c r="M22" s="61"/>
      <c r="N22" s="164"/>
      <c r="O22" s="61"/>
      <c r="P22" s="173"/>
      <c r="Q22" s="99"/>
      <c r="R22" s="173"/>
      <c r="S22" s="99"/>
      <c r="T22" s="173"/>
      <c r="U22" s="99"/>
      <c r="V22" s="173"/>
      <c r="W22" s="8"/>
    </row>
    <row r="23" spans="1:24" ht="12.75" hidden="1" customHeight="1" x14ac:dyDescent="0.15">
      <c r="A23" s="14" t="s">
        <v>14</v>
      </c>
      <c r="B23" s="33"/>
      <c r="C23" s="28"/>
      <c r="D23" s="165"/>
      <c r="E23" s="35"/>
      <c r="F23" s="166"/>
      <c r="G23" s="35"/>
      <c r="H23" s="27">
        <v>716306.17</v>
      </c>
      <c r="I23" s="35"/>
      <c r="J23" s="164">
        <v>716306.17</v>
      </c>
      <c r="K23" s="61"/>
      <c r="L23" s="164"/>
      <c r="M23" s="61"/>
      <c r="N23" s="164"/>
      <c r="O23" s="61"/>
      <c r="P23" s="173"/>
      <c r="Q23" s="99"/>
      <c r="R23" s="173"/>
      <c r="S23" s="99"/>
      <c r="T23" s="173"/>
      <c r="U23" s="99"/>
      <c r="V23" s="173"/>
      <c r="W23" s="8"/>
    </row>
    <row r="24" spans="1:24" ht="12.75" customHeight="1" x14ac:dyDescent="0.15">
      <c r="A24" s="14" t="s">
        <v>15</v>
      </c>
      <c r="B24" s="28">
        <v>3919918</v>
      </c>
      <c r="C24" s="28"/>
      <c r="D24" s="35">
        <v>2646465</v>
      </c>
      <c r="E24" s="35"/>
      <c r="F24" s="35">
        <f>1347921+291512</f>
        <v>1639433</v>
      </c>
      <c r="G24" s="35"/>
      <c r="H24" s="27">
        <v>42614</v>
      </c>
      <c r="I24" s="35"/>
      <c r="J24" s="164">
        <v>4094529</v>
      </c>
      <c r="K24" s="61"/>
      <c r="L24" s="164">
        <v>5314217.5999999996</v>
      </c>
      <c r="M24" s="61"/>
      <c r="N24" s="164">
        <v>3500000</v>
      </c>
      <c r="O24" s="61"/>
      <c r="P24" s="173">
        <v>3000000</v>
      </c>
      <c r="Q24" s="99"/>
      <c r="R24" s="173">
        <v>1500000</v>
      </c>
      <c r="S24" s="99"/>
      <c r="T24" s="173">
        <v>1500000</v>
      </c>
      <c r="U24" s="99"/>
      <c r="V24" s="173">
        <v>1500000</v>
      </c>
      <c r="W24" s="8"/>
    </row>
    <row r="25" spans="1:24" ht="12.75" customHeight="1" x14ac:dyDescent="0.15">
      <c r="A25" s="14" t="s">
        <v>16</v>
      </c>
      <c r="B25" s="28"/>
      <c r="C25" s="28"/>
      <c r="D25" s="35"/>
      <c r="E25" s="35"/>
      <c r="F25" s="35"/>
      <c r="G25" s="35"/>
      <c r="H25" s="27"/>
      <c r="I25" s="35"/>
      <c r="J25" s="164"/>
      <c r="K25" s="61"/>
      <c r="L25" s="164"/>
      <c r="M25" s="61"/>
      <c r="N25" s="164"/>
      <c r="O25" s="61"/>
      <c r="P25" s="173"/>
      <c r="Q25" s="99"/>
      <c r="R25" s="173"/>
      <c r="S25" s="99"/>
      <c r="T25" s="173"/>
      <c r="U25" s="99"/>
      <c r="V25" s="173"/>
      <c r="W25" s="8"/>
    </row>
    <row r="26" spans="1:24" ht="12.75" customHeight="1" x14ac:dyDescent="0.15">
      <c r="A26" s="14" t="s">
        <v>17</v>
      </c>
      <c r="B26" s="28">
        <v>90553</v>
      </c>
      <c r="C26" s="28"/>
      <c r="D26" s="35">
        <v>96195</v>
      </c>
      <c r="E26" s="35"/>
      <c r="F26" s="35">
        <v>78737</v>
      </c>
      <c r="G26" s="35"/>
      <c r="H26" s="164">
        <f>123624+88824+3018</f>
        <v>215466</v>
      </c>
      <c r="I26" s="35"/>
      <c r="J26" s="164">
        <f>294902.41+121724.86+6546.58+4848.48</f>
        <v>428022.32999999996</v>
      </c>
      <c r="K26" s="61"/>
      <c r="L26" s="164">
        <f>120753.88+119765.64+3032.529+4124.74</f>
        <v>247676.78900000002</v>
      </c>
      <c r="M26" s="61"/>
      <c r="N26" s="164">
        <v>200000</v>
      </c>
      <c r="O26" s="61"/>
      <c r="P26" s="164">
        <v>200000</v>
      </c>
      <c r="Q26" s="176"/>
      <c r="R26" s="164">
        <v>200000</v>
      </c>
      <c r="S26" s="176"/>
      <c r="T26" s="164">
        <v>200000</v>
      </c>
      <c r="U26" s="176"/>
      <c r="V26" s="164">
        <v>200000</v>
      </c>
      <c r="W26" s="8"/>
    </row>
    <row r="27" spans="1:24" ht="12.75" customHeight="1" x14ac:dyDescent="0.15">
      <c r="A27" s="14" t="s">
        <v>347</v>
      </c>
      <c r="B27" s="28">
        <f>1095833+9200</f>
        <v>1105033</v>
      </c>
      <c r="C27" s="28"/>
      <c r="D27" s="35">
        <f>1095833+123854</f>
        <v>1219687</v>
      </c>
      <c r="E27" s="35"/>
      <c r="F27" s="35">
        <f>1095833+388767</f>
        <v>1484600</v>
      </c>
      <c r="G27" s="35"/>
      <c r="H27" s="164">
        <f>332025+533994+7874</f>
        <v>873893</v>
      </c>
      <c r="I27" s="35"/>
      <c r="J27" s="164">
        <f>29343.12+588373.37+19673.41</f>
        <v>637389.9</v>
      </c>
      <c r="K27" s="61"/>
      <c r="L27" s="164">
        <f>29343.12+6646.68+663467.62+224251.87</f>
        <v>923709.29</v>
      </c>
      <c r="M27" s="61"/>
      <c r="N27" s="173">
        <f>+L27+(('CF Summary '!G35+'CF Summary '!G36)/30)</f>
        <v>1074542.6233333333</v>
      </c>
      <c r="O27" s="61"/>
      <c r="P27" s="173">
        <f>+N27+(('CF Summary '!I35+'CF Summary '!I36)/30)</f>
        <v>1207875.9566666665</v>
      </c>
      <c r="Q27" s="176"/>
      <c r="R27" s="173">
        <f>+P27+(('CF Summary '!K35+'CF Summary '!K36)/30)</f>
        <v>1341209.2899999998</v>
      </c>
      <c r="S27" s="176"/>
      <c r="T27" s="173">
        <f>+R27+(('CF Summary '!M35+'CF Summary '!M36)/30)</f>
        <v>1474542.6233333331</v>
      </c>
      <c r="U27" s="176"/>
      <c r="V27" s="173">
        <f>+T27+(('CF Summary '!O35+'CF Summary '!O36)/30)</f>
        <v>1607875.9566666663</v>
      </c>
      <c r="W27" s="8"/>
      <c r="X27" s="8"/>
    </row>
    <row r="28" spans="1:24" ht="12.75" customHeight="1" x14ac:dyDescent="0.15">
      <c r="A28" s="14" t="s">
        <v>96</v>
      </c>
      <c r="B28" s="28">
        <f>1347000+124189+5390+15-1</f>
        <v>1476593</v>
      </c>
      <c r="C28" s="28"/>
      <c r="D28" s="35">
        <f>690000+75576+18156+12+1</f>
        <v>783745</v>
      </c>
      <c r="E28" s="35"/>
      <c r="F28" s="35">
        <v>50000</v>
      </c>
      <c r="G28" s="35"/>
      <c r="H28" s="164">
        <v>1150000</v>
      </c>
      <c r="I28" s="35"/>
      <c r="J28" s="164">
        <v>976500</v>
      </c>
      <c r="K28" s="61"/>
      <c r="L28" s="164">
        <f>950000+56892.66</f>
        <v>1006892.66</v>
      </c>
      <c r="M28" s="61"/>
      <c r="N28" s="164">
        <v>1000000</v>
      </c>
      <c r="O28" s="61"/>
      <c r="P28" s="173">
        <v>1000000</v>
      </c>
      <c r="Q28" s="176"/>
      <c r="R28" s="173">
        <v>1000000</v>
      </c>
      <c r="S28" s="176"/>
      <c r="T28" s="173">
        <v>1000000</v>
      </c>
      <c r="U28" s="176"/>
      <c r="V28" s="173">
        <v>1000000</v>
      </c>
    </row>
    <row r="29" spans="1:24" ht="12.75" customHeight="1" x14ac:dyDescent="0.15">
      <c r="A29" s="14" t="s">
        <v>95</v>
      </c>
      <c r="B29" s="33">
        <f>3114430+193886</f>
        <v>3308316</v>
      </c>
      <c r="C29" s="28"/>
      <c r="D29" s="165">
        <f>2856342+288164</f>
        <v>3144506</v>
      </c>
      <c r="E29" s="35"/>
      <c r="F29" s="165">
        <f>2448577+4659</f>
        <v>2453236</v>
      </c>
      <c r="G29" s="35"/>
      <c r="H29" s="174">
        <f>2292935+4500</f>
        <v>2297435</v>
      </c>
      <c r="I29" s="35"/>
      <c r="J29" s="174">
        <f>2129380.89+8695.52</f>
        <v>2138076.41</v>
      </c>
      <c r="K29" s="61"/>
      <c r="L29" s="174">
        <f>1997918.08+10056.66</f>
        <v>2007974.74</v>
      </c>
      <c r="M29" s="61"/>
      <c r="N29" s="174">
        <f>+L29-133000-25000</f>
        <v>1849974.74</v>
      </c>
      <c r="O29" s="61"/>
      <c r="P29" s="174">
        <f>+N29-133000-25000</f>
        <v>1691974.74</v>
      </c>
      <c r="Q29" s="176"/>
      <c r="R29" s="174">
        <f>+P29-133000-25000</f>
        <v>1533974.74</v>
      </c>
      <c r="S29" s="176"/>
      <c r="T29" s="174">
        <f>+R29-133000-25000</f>
        <v>1375974.74</v>
      </c>
      <c r="U29" s="176"/>
      <c r="V29" s="174">
        <f>+T29-133000-25000</f>
        <v>1217974.74</v>
      </c>
    </row>
    <row r="30" spans="1:24" ht="12.75" customHeight="1" x14ac:dyDescent="0.15">
      <c r="A30" s="14" t="s">
        <v>18</v>
      </c>
      <c r="B30" s="28">
        <f>SUM(B26:B29)</f>
        <v>5980495</v>
      </c>
      <c r="C30" s="28"/>
      <c r="D30" s="35">
        <f>SUM(D26:D29)</f>
        <v>5244133</v>
      </c>
      <c r="E30" s="35"/>
      <c r="F30" s="35">
        <f>SUM(F26:F29)</f>
        <v>4066573</v>
      </c>
      <c r="G30" s="35"/>
      <c r="H30" s="27">
        <f>SUM(H26:H29)</f>
        <v>4536794</v>
      </c>
      <c r="I30" s="35"/>
      <c r="J30" s="164">
        <f>SUM(J26:J29)</f>
        <v>4179988.64</v>
      </c>
      <c r="K30" s="61"/>
      <c r="L30" s="164">
        <f>SUM(L26:L29)</f>
        <v>4186253.4790000003</v>
      </c>
      <c r="M30" s="61"/>
      <c r="N30" s="164">
        <f>SUM(N26:N29)</f>
        <v>4124517.3633333333</v>
      </c>
      <c r="O30" s="61"/>
      <c r="P30" s="173">
        <f>SUM(P26:P29)</f>
        <v>4099850.6966666663</v>
      </c>
      <c r="Q30" s="176"/>
      <c r="R30" s="173">
        <f>SUM(R26:R29)</f>
        <v>4075184.0300000003</v>
      </c>
      <c r="S30" s="176"/>
      <c r="T30" s="173">
        <f>SUM(T26:T29)</f>
        <v>4050517.3633333333</v>
      </c>
      <c r="U30" s="176"/>
      <c r="V30" s="173">
        <f>SUM(V26:V29)</f>
        <v>4025850.6966666663</v>
      </c>
    </row>
    <row r="31" spans="1:24" ht="12.75" customHeight="1" x14ac:dyDescent="0.15">
      <c r="A31" s="14" t="s">
        <v>19</v>
      </c>
      <c r="B31" s="28"/>
      <c r="C31" s="28"/>
      <c r="D31" s="35"/>
      <c r="E31" s="35"/>
      <c r="F31" s="35"/>
      <c r="G31" s="35"/>
      <c r="H31" s="167"/>
      <c r="I31" s="35"/>
      <c r="J31" s="28"/>
      <c r="K31" s="61"/>
      <c r="L31" s="28"/>
      <c r="M31" s="61"/>
      <c r="N31" s="28"/>
      <c r="O31" s="61"/>
      <c r="P31" s="99"/>
      <c r="Q31" s="99"/>
      <c r="R31" s="99"/>
      <c r="S31" s="99"/>
      <c r="T31" s="99"/>
      <c r="U31" s="99"/>
      <c r="V31" s="99"/>
    </row>
    <row r="32" spans="1:24" ht="12.75" customHeight="1" x14ac:dyDescent="0.15">
      <c r="A32" s="14" t="s">
        <v>189</v>
      </c>
      <c r="B32" s="28">
        <v>18100</v>
      </c>
      <c r="C32" s="28"/>
      <c r="D32" s="35">
        <v>56700</v>
      </c>
      <c r="E32" s="35"/>
      <c r="F32" s="35">
        <v>238300</v>
      </c>
      <c r="G32" s="35"/>
      <c r="H32" s="27">
        <v>363400</v>
      </c>
      <c r="I32" s="35"/>
      <c r="J32" s="164">
        <v>224600</v>
      </c>
      <c r="K32" s="61"/>
      <c r="L32" s="164">
        <v>132000</v>
      </c>
      <c r="M32" s="61"/>
      <c r="N32" s="164">
        <v>136000</v>
      </c>
      <c r="O32" s="61"/>
      <c r="P32" s="173">
        <v>136000</v>
      </c>
      <c r="Q32" s="176"/>
      <c r="R32" s="173">
        <v>136000</v>
      </c>
      <c r="S32" s="176"/>
      <c r="T32" s="173">
        <v>136000</v>
      </c>
      <c r="U32" s="176"/>
      <c r="V32" s="173">
        <v>136000</v>
      </c>
      <c r="W32" s="8"/>
    </row>
    <row r="33" spans="1:23" ht="12.75" customHeight="1" x14ac:dyDescent="0.15">
      <c r="A33" s="14" t="s">
        <v>20</v>
      </c>
      <c r="B33" s="28">
        <v>0</v>
      </c>
      <c r="C33" s="28"/>
      <c r="D33" s="35">
        <v>879033</v>
      </c>
      <c r="E33" s="35"/>
      <c r="F33" s="35">
        <f>914835+1</f>
        <v>914836</v>
      </c>
      <c r="G33" s="35"/>
      <c r="H33" s="27">
        <v>0</v>
      </c>
      <c r="I33" s="35"/>
      <c r="J33" s="164">
        <v>0</v>
      </c>
      <c r="K33" s="61"/>
      <c r="L33" s="164">
        <v>0</v>
      </c>
      <c r="M33" s="61"/>
      <c r="N33" s="164">
        <f>+'CF Summary '!G32/2</f>
        <v>0</v>
      </c>
      <c r="O33" s="61"/>
      <c r="P33" s="173">
        <f>+'CF Summary '!I$32/2</f>
        <v>500000</v>
      </c>
      <c r="Q33" s="176"/>
      <c r="R33" s="173">
        <f>+'CF Summary '!K$32/2</f>
        <v>500000</v>
      </c>
      <c r="S33" s="176"/>
      <c r="T33" s="173">
        <f>+'CF Summary '!M$32/2</f>
        <v>1000000</v>
      </c>
      <c r="U33" s="176"/>
      <c r="V33" s="173">
        <f>+'CF Summary '!O$32/2</f>
        <v>1500000</v>
      </c>
      <c r="W33" s="8"/>
    </row>
    <row r="34" spans="1:23" ht="12.75" customHeight="1" x14ac:dyDescent="0.15">
      <c r="A34" s="14" t="s">
        <v>21</v>
      </c>
      <c r="B34" s="33">
        <v>0</v>
      </c>
      <c r="C34" s="28"/>
      <c r="D34" s="165">
        <v>907184</v>
      </c>
      <c r="E34" s="35"/>
      <c r="F34" s="165">
        <v>844975</v>
      </c>
      <c r="G34" s="35"/>
      <c r="H34" s="120">
        <v>0</v>
      </c>
      <c r="I34" s="35"/>
      <c r="J34" s="174">
        <v>0</v>
      </c>
      <c r="K34" s="61"/>
      <c r="L34" s="174">
        <v>0</v>
      </c>
      <c r="M34" s="61"/>
      <c r="N34" s="174">
        <f>+'CF Summary '!G32/2</f>
        <v>0</v>
      </c>
      <c r="O34" s="61"/>
      <c r="P34" s="174">
        <f>+'CF Summary '!I32/2</f>
        <v>500000</v>
      </c>
      <c r="Q34" s="99"/>
      <c r="R34" s="174">
        <f>+'CF Summary '!K$32/2</f>
        <v>500000</v>
      </c>
      <c r="S34" s="99"/>
      <c r="T34" s="174">
        <f>+'CF Summary '!M$32/2</f>
        <v>1000000</v>
      </c>
      <c r="U34" s="99"/>
      <c r="V34" s="174">
        <f>+'CF Summary '!O$32/2</f>
        <v>1500000</v>
      </c>
      <c r="W34" s="8"/>
    </row>
    <row r="35" spans="1:23" ht="12.75" customHeight="1" x14ac:dyDescent="0.15">
      <c r="A35" s="14" t="s">
        <v>22</v>
      </c>
      <c r="B35" s="28">
        <f>SUM(B32:B34)</f>
        <v>18100</v>
      </c>
      <c r="C35" s="28"/>
      <c r="D35" s="35">
        <f>SUM(D32:D34)</f>
        <v>1842917</v>
      </c>
      <c r="E35" s="35"/>
      <c r="F35" s="35">
        <f>SUM(F32:F34)</f>
        <v>1998111</v>
      </c>
      <c r="G35" s="35"/>
      <c r="H35" s="27">
        <f>SUM(H32:H34)</f>
        <v>363400</v>
      </c>
      <c r="I35" s="35"/>
      <c r="J35" s="164">
        <f>SUM(J32:J34)</f>
        <v>224600</v>
      </c>
      <c r="K35" s="61"/>
      <c r="L35" s="164">
        <f>SUM(L32:L34)</f>
        <v>132000</v>
      </c>
      <c r="M35" s="61"/>
      <c r="N35" s="164">
        <f>SUM(N32:N34)</f>
        <v>136000</v>
      </c>
      <c r="O35" s="61"/>
      <c r="P35" s="173">
        <f>SUM(P32:P34)</f>
        <v>1136000</v>
      </c>
      <c r="Q35" s="176"/>
      <c r="R35" s="173">
        <f>SUM(R32:R34)</f>
        <v>1136000</v>
      </c>
      <c r="S35" s="176"/>
      <c r="T35" s="173">
        <f>SUM(T32:T34)</f>
        <v>2136000</v>
      </c>
      <c r="U35" s="176"/>
      <c r="V35" s="173">
        <f>SUM(V32:V34)</f>
        <v>3136000</v>
      </c>
      <c r="W35" s="8"/>
    </row>
    <row r="36" spans="1:23" ht="12.75" customHeight="1" x14ac:dyDescent="0.15">
      <c r="A36" s="14" t="s">
        <v>23</v>
      </c>
      <c r="B36" s="28">
        <v>21496</v>
      </c>
      <c r="C36" s="28"/>
      <c r="D36" s="35">
        <v>22712</v>
      </c>
      <c r="E36" s="35"/>
      <c r="F36" s="35">
        <v>40643</v>
      </c>
      <c r="G36" s="35"/>
      <c r="H36" s="27">
        <v>24545</v>
      </c>
      <c r="I36" s="35"/>
      <c r="J36" s="164">
        <v>17405.060000000001</v>
      </c>
      <c r="K36" s="61"/>
      <c r="L36" s="164">
        <v>21061.9</v>
      </c>
      <c r="M36" s="61"/>
      <c r="N36" s="164">
        <v>30000</v>
      </c>
      <c r="O36" s="61"/>
      <c r="P36" s="173">
        <v>30000</v>
      </c>
      <c r="Q36" s="176"/>
      <c r="R36" s="173">
        <v>30000</v>
      </c>
      <c r="S36" s="176"/>
      <c r="T36" s="173">
        <v>30000</v>
      </c>
      <c r="U36" s="176"/>
      <c r="V36" s="173">
        <v>30000</v>
      </c>
    </row>
    <row r="37" spans="1:23" ht="12.75" customHeight="1" x14ac:dyDescent="0.15">
      <c r="A37" s="14" t="s">
        <v>24</v>
      </c>
      <c r="B37" s="28">
        <v>0</v>
      </c>
      <c r="C37" s="28"/>
      <c r="D37" s="35">
        <v>500</v>
      </c>
      <c r="E37" s="35"/>
      <c r="F37" s="35">
        <v>500</v>
      </c>
      <c r="G37" s="35"/>
      <c r="H37" s="27">
        <v>500</v>
      </c>
      <c r="I37" s="35"/>
      <c r="J37" s="164">
        <v>2500</v>
      </c>
      <c r="K37" s="61"/>
      <c r="L37" s="164">
        <f>13300+0.4</f>
        <v>13300.4</v>
      </c>
      <c r="M37" s="61"/>
      <c r="N37" s="164">
        <f>+L37</f>
        <v>13300.4</v>
      </c>
      <c r="O37" s="61"/>
      <c r="P37" s="173">
        <f>+N37</f>
        <v>13300.4</v>
      </c>
      <c r="Q37" s="176"/>
      <c r="R37" s="173">
        <f>+P37</f>
        <v>13300.4</v>
      </c>
      <c r="S37" s="176"/>
      <c r="T37" s="173">
        <f>+R37</f>
        <v>13300.4</v>
      </c>
      <c r="U37" s="176"/>
      <c r="V37" s="173">
        <f>+T37</f>
        <v>13300.4</v>
      </c>
    </row>
    <row r="38" spans="1:23" ht="12.75" customHeight="1" x14ac:dyDescent="0.15">
      <c r="A38" s="14" t="s">
        <v>25</v>
      </c>
      <c r="B38" s="33">
        <v>258212</v>
      </c>
      <c r="C38" s="28"/>
      <c r="D38" s="165">
        <v>129321</v>
      </c>
      <c r="E38" s="35"/>
      <c r="F38" s="165">
        <v>166878</v>
      </c>
      <c r="G38" s="35"/>
      <c r="H38" s="120">
        <v>201027</v>
      </c>
      <c r="I38" s="35"/>
      <c r="J38" s="174">
        <v>238682.34</v>
      </c>
      <c r="K38" s="61"/>
      <c r="L38" s="174">
        <f>94095.01+0.4</f>
        <v>94095.409999999989</v>
      </c>
      <c r="M38" s="61"/>
      <c r="N38" s="174">
        <v>150000</v>
      </c>
      <c r="O38" s="61"/>
      <c r="P38" s="174">
        <v>150000</v>
      </c>
      <c r="Q38" s="99"/>
      <c r="R38" s="174">
        <v>150000</v>
      </c>
      <c r="S38" s="99"/>
      <c r="T38" s="174">
        <v>150000</v>
      </c>
      <c r="U38" s="99"/>
      <c r="V38" s="174">
        <v>150000</v>
      </c>
    </row>
    <row r="39" spans="1:23" ht="12.75" customHeight="1" x14ac:dyDescent="0.15">
      <c r="A39" s="14" t="s">
        <v>26</v>
      </c>
      <c r="B39" s="28">
        <f>+B17+B24+B30+B35+B36+B37+B38</f>
        <v>14027653</v>
      </c>
      <c r="C39" s="28"/>
      <c r="D39" s="35">
        <f>+D17+D24+D30+D35+D36+D37+D38</f>
        <v>10603151</v>
      </c>
      <c r="E39" s="35"/>
      <c r="F39" s="35">
        <f>+F17+F24+F30+F35+F36+F37+F38</f>
        <v>8660154</v>
      </c>
      <c r="G39" s="35"/>
      <c r="H39" s="27">
        <f>+H17+H24+H30+H35+H36+H37+H38</f>
        <v>14728079</v>
      </c>
      <c r="I39" s="35"/>
      <c r="J39" s="164">
        <f>+J17+J24+J30+J35+J36+J37+J38</f>
        <v>17694936.529999997</v>
      </c>
      <c r="K39" s="61"/>
      <c r="L39" s="164">
        <f>+L17+L24+L30+L35+L36+L37+L38</f>
        <v>16293213.759</v>
      </c>
      <c r="M39" s="61"/>
      <c r="N39" s="164">
        <f>+N17+N24+N30+N35+N36+N37+N38</f>
        <v>17588415.856893606</v>
      </c>
      <c r="O39" s="61"/>
      <c r="P39" s="173">
        <f>+P17+P24+P30+P35+P36+P37+P38</f>
        <v>15829498.740416056</v>
      </c>
      <c r="Q39" s="176"/>
      <c r="R39" s="173">
        <f>+R17+R24+R30+R35+R36+R37+R38</f>
        <v>14690518.780893749</v>
      </c>
      <c r="S39" s="176"/>
      <c r="T39" s="173">
        <f>+T17+T24+T30+T35+T36+T37+T38</f>
        <v>14229910.16349042</v>
      </c>
      <c r="U39" s="176"/>
      <c r="V39" s="173">
        <f>+V17+V24+V30+V35+V36+V37+V38</f>
        <v>14287459.010202477</v>
      </c>
    </row>
    <row r="40" spans="1:23" ht="12.75" customHeight="1" x14ac:dyDescent="0.15">
      <c r="A40" s="14" t="s">
        <v>27</v>
      </c>
      <c r="B40" s="28"/>
      <c r="C40" s="28"/>
      <c r="D40" s="35"/>
      <c r="E40" s="35"/>
      <c r="F40" s="35"/>
      <c r="G40" s="35"/>
      <c r="H40" s="167"/>
      <c r="I40" s="35"/>
      <c r="J40" s="28"/>
      <c r="K40" s="61"/>
      <c r="L40" s="28"/>
      <c r="M40" s="61"/>
      <c r="N40" s="28"/>
      <c r="O40" s="61"/>
      <c r="P40" s="99"/>
      <c r="Q40" s="99"/>
      <c r="R40" s="99"/>
      <c r="S40" s="99"/>
      <c r="T40" s="99"/>
      <c r="U40" s="99"/>
      <c r="V40" s="99"/>
    </row>
    <row r="41" spans="1:23" ht="12.75" customHeight="1" x14ac:dyDescent="0.15">
      <c r="A41" s="14" t="s">
        <v>97</v>
      </c>
      <c r="B41" s="28">
        <v>16795042</v>
      </c>
      <c r="C41" s="28"/>
      <c r="D41" s="35">
        <v>16097228</v>
      </c>
      <c r="E41" s="35"/>
      <c r="F41" s="35">
        <f>22933559-8771498</f>
        <v>14162061</v>
      </c>
      <c r="G41" s="35"/>
      <c r="H41" s="122">
        <f>3493751+7498+1</f>
        <v>3501250</v>
      </c>
      <c r="I41" s="35"/>
      <c r="J41" s="173">
        <f>584653.97+11376.69</f>
        <v>596030.65999999992</v>
      </c>
      <c r="K41" s="61"/>
      <c r="L41" s="173">
        <f>557896.43+7339.45</f>
        <v>565235.88</v>
      </c>
      <c r="M41" s="61"/>
      <c r="N41" s="173">
        <v>536000</v>
      </c>
      <c r="O41" s="61"/>
      <c r="P41" s="173">
        <f>+N41-31000</f>
        <v>505000</v>
      </c>
      <c r="Q41" s="176"/>
      <c r="R41" s="173">
        <f>+P41-31000</f>
        <v>474000</v>
      </c>
      <c r="S41" s="176"/>
      <c r="T41" s="173">
        <f>+R41-31000</f>
        <v>443000</v>
      </c>
      <c r="U41" s="176"/>
      <c r="V41" s="173">
        <f>+T41-31000</f>
        <v>412000</v>
      </c>
    </row>
    <row r="42" spans="1:23" ht="12.75" customHeight="1" x14ac:dyDescent="0.15">
      <c r="A42" s="14" t="s">
        <v>205</v>
      </c>
      <c r="B42" s="28">
        <v>219782</v>
      </c>
      <c r="C42" s="28"/>
      <c r="D42" s="35">
        <v>3528138</v>
      </c>
      <c r="E42" s="35"/>
      <c r="F42" s="35">
        <v>11121392</v>
      </c>
      <c r="G42" s="35"/>
      <c r="H42" s="27">
        <v>15016403</v>
      </c>
      <c r="I42" s="35"/>
      <c r="J42" s="164">
        <v>15416935.32</v>
      </c>
      <c r="K42" s="61"/>
      <c r="L42" s="164">
        <f>16126784.94+187925.54</f>
        <v>16314710.479999999</v>
      </c>
      <c r="M42" s="61"/>
      <c r="N42" s="164">
        <f>19247022+472500</f>
        <v>19719522</v>
      </c>
      <c r="O42" s="61"/>
      <c r="P42" s="173">
        <f>+N42+('CF Summary '!I35*29/30)-1500000+164493+235328</f>
        <v>22002676.333333332</v>
      </c>
      <c r="Q42" s="176"/>
      <c r="R42" s="173">
        <f>+P42+('CF Summary '!K35*29/30)-2000000-35783+757062</f>
        <v>24107288.666666664</v>
      </c>
      <c r="S42" s="176"/>
      <c r="T42" s="173">
        <f>+R42+('CF Summary '!M35*29/30)-3000000-161760+1254395</f>
        <v>25583256.999999996</v>
      </c>
      <c r="U42" s="176"/>
      <c r="V42" s="173">
        <f>+T42+('CF Summary '!O35*29/30)-3000000-140110+768395</f>
        <v>26594875.333333328</v>
      </c>
    </row>
    <row r="43" spans="1:23" s="20" customFormat="1" ht="12.75" customHeight="1" x14ac:dyDescent="0.15">
      <c r="A43" s="14" t="s">
        <v>204</v>
      </c>
      <c r="B43" s="28">
        <v>0</v>
      </c>
      <c r="C43" s="28"/>
      <c r="D43" s="35">
        <v>0</v>
      </c>
      <c r="E43" s="35"/>
      <c r="F43" s="35">
        <v>0</v>
      </c>
      <c r="G43" s="35"/>
      <c r="H43" s="27">
        <v>222582</v>
      </c>
      <c r="I43" s="35"/>
      <c r="J43" s="164">
        <v>556745</v>
      </c>
      <c r="K43" s="61"/>
      <c r="L43" s="164">
        <v>848402.97</v>
      </c>
      <c r="M43" s="61"/>
      <c r="N43" s="164">
        <v>970000</v>
      </c>
      <c r="O43" s="61"/>
      <c r="P43" s="173">
        <f>+'Interest Bearing Assets'!I13-35000</f>
        <v>945000</v>
      </c>
      <c r="Q43" s="176"/>
      <c r="R43" s="173">
        <f>+'Interest Bearing Assets'!K13-35000</f>
        <v>925000</v>
      </c>
      <c r="S43" s="176"/>
      <c r="T43" s="173">
        <f>+'Interest Bearing Assets'!M13-35000</f>
        <v>905000</v>
      </c>
      <c r="U43" s="176"/>
      <c r="V43" s="173">
        <f>+'Interest Bearing Assets'!O13-35000</f>
        <v>885000</v>
      </c>
    </row>
    <row r="44" spans="1:23" ht="12.75" customHeight="1" x14ac:dyDescent="0.15">
      <c r="A44" s="14" t="s">
        <v>30</v>
      </c>
      <c r="B44" s="28">
        <v>414052</v>
      </c>
      <c r="C44" s="28"/>
      <c r="D44" s="35">
        <v>368765</v>
      </c>
      <c r="E44" s="35"/>
      <c r="F44" s="35">
        <v>247472</v>
      </c>
      <c r="G44" s="35"/>
      <c r="H44" s="164">
        <v>240693</v>
      </c>
      <c r="I44" s="35"/>
      <c r="J44" s="164">
        <v>223808.11</v>
      </c>
      <c r="K44" s="61"/>
      <c r="L44" s="164">
        <v>206691.04</v>
      </c>
      <c r="M44" s="61"/>
      <c r="N44" s="164">
        <f>+'Interest Bearing Assets'!G23</f>
        <v>193000</v>
      </c>
      <c r="O44" s="61"/>
      <c r="P44" s="173">
        <f>+'Interest Bearing Assets'!I23</f>
        <v>185000</v>
      </c>
      <c r="Q44" s="176"/>
      <c r="R44" s="173">
        <f>+'Interest Bearing Assets'!K23</f>
        <v>170000</v>
      </c>
      <c r="S44" s="176"/>
      <c r="T44" s="173">
        <f>+'Interest Bearing Assets'!M23</f>
        <v>155000</v>
      </c>
      <c r="U44" s="176"/>
      <c r="V44" s="173">
        <f>+'Interest Bearing Assets'!O23</f>
        <v>140000</v>
      </c>
    </row>
    <row r="45" spans="1:23" s="20" customFormat="1" ht="12.75" customHeight="1" x14ac:dyDescent="0.15">
      <c r="A45" s="14" t="s">
        <v>191</v>
      </c>
      <c r="B45" s="28">
        <v>0</v>
      </c>
      <c r="C45" s="28"/>
      <c r="D45" s="35">
        <v>0</v>
      </c>
      <c r="E45" s="35"/>
      <c r="F45" s="35">
        <v>0</v>
      </c>
      <c r="G45" s="35"/>
      <c r="H45" s="27">
        <v>0</v>
      </c>
      <c r="I45" s="35"/>
      <c r="J45" s="164">
        <f>+'CF Summary '!C37</f>
        <v>598500</v>
      </c>
      <c r="K45" s="61"/>
      <c r="L45" s="164">
        <v>2100000</v>
      </c>
      <c r="M45" s="61"/>
      <c r="N45" s="164">
        <v>2604000</v>
      </c>
      <c r="O45" s="61"/>
      <c r="P45" s="173">
        <f>+N45+'CF Summary '!I37</f>
        <v>2604000</v>
      </c>
      <c r="Q45" s="176"/>
      <c r="R45" s="173">
        <f>+P45+'CF Summary '!K37</f>
        <v>2604000</v>
      </c>
      <c r="S45" s="176"/>
      <c r="T45" s="173">
        <f>+R45+'CF Summary '!M37</f>
        <v>2604000</v>
      </c>
      <c r="U45" s="176"/>
      <c r="V45" s="173">
        <f>+T45+'CF Summary '!O37</f>
        <v>2604000</v>
      </c>
    </row>
    <row r="46" spans="1:23" ht="12.75" customHeight="1" x14ac:dyDescent="0.15">
      <c r="A46" s="14" t="s">
        <v>98</v>
      </c>
      <c r="B46" s="28">
        <f>3231215+4348214+572798</f>
        <v>8152227</v>
      </c>
      <c r="C46" s="28"/>
      <c r="D46" s="35">
        <f>2607474+1896139+331330</f>
        <v>4834943</v>
      </c>
      <c r="E46" s="35"/>
      <c r="F46" s="35">
        <f>5459277+4495010+510340-3428230-3816660-423939</f>
        <v>2795798</v>
      </c>
      <c r="G46" s="35"/>
      <c r="H46" s="27">
        <f>1477153+99721</f>
        <v>1576874</v>
      </c>
      <c r="I46" s="35"/>
      <c r="J46" s="164">
        <v>0</v>
      </c>
      <c r="K46" s="61"/>
      <c r="L46" s="164">
        <v>0</v>
      </c>
      <c r="M46" s="61"/>
      <c r="N46" s="164">
        <v>0</v>
      </c>
      <c r="O46" s="61"/>
      <c r="P46" s="173">
        <v>0</v>
      </c>
      <c r="Q46" s="176"/>
      <c r="R46" s="173">
        <v>0</v>
      </c>
      <c r="S46" s="176"/>
      <c r="T46" s="173">
        <v>0</v>
      </c>
      <c r="U46" s="176"/>
      <c r="V46" s="173">
        <v>0</v>
      </c>
    </row>
    <row r="47" spans="1:23" ht="12.75" customHeight="1" x14ac:dyDescent="0.15">
      <c r="A47" s="14" t="s">
        <v>119</v>
      </c>
      <c r="B47" s="28">
        <v>10637</v>
      </c>
      <c r="C47" s="28"/>
      <c r="D47" s="35">
        <v>22711</v>
      </c>
      <c r="E47" s="35"/>
      <c r="F47" s="35">
        <v>29926</v>
      </c>
      <c r="G47" s="35"/>
      <c r="H47" s="27">
        <v>48901</v>
      </c>
      <c r="I47" s="35"/>
      <c r="J47" s="164">
        <v>46319.79</v>
      </c>
      <c r="K47" s="61"/>
      <c r="L47" s="164">
        <v>160627.04</v>
      </c>
      <c r="M47" s="61"/>
      <c r="N47" s="164">
        <f>+'Interest Bearing Assets'!G28</f>
        <v>130000</v>
      </c>
      <c r="O47" s="61"/>
      <c r="P47" s="173">
        <f>+N47+'CF Summary '!I40-5000</f>
        <v>165000</v>
      </c>
      <c r="Q47" s="176"/>
      <c r="R47" s="173">
        <f>+P47+'CF Summary '!K40-5000</f>
        <v>200000</v>
      </c>
      <c r="S47" s="176"/>
      <c r="T47" s="173">
        <f>+R47+'CF Summary '!M40-6000</f>
        <v>234000</v>
      </c>
      <c r="U47" s="176"/>
      <c r="V47" s="173">
        <f>+T47+'CF Summary '!O40-6000</f>
        <v>268000</v>
      </c>
    </row>
    <row r="48" spans="1:23" ht="12.75" customHeight="1" x14ac:dyDescent="0.15">
      <c r="A48" s="14" t="s">
        <v>99</v>
      </c>
      <c r="B48" s="28">
        <f>125813+200057</f>
        <v>325870</v>
      </c>
      <c r="C48" s="28"/>
      <c r="D48" s="35">
        <f>149655+1672397</f>
        <v>1822052</v>
      </c>
      <c r="E48" s="35"/>
      <c r="F48" s="35">
        <f>49089+1900832</f>
        <v>1949921</v>
      </c>
      <c r="G48" s="35"/>
      <c r="H48" s="27">
        <f>154699+2860131</f>
        <v>3014830</v>
      </c>
      <c r="I48" s="35"/>
      <c r="J48" s="164">
        <f>4235057.75+448479.31-21796.9</f>
        <v>4661740.1599999992</v>
      </c>
      <c r="K48" s="61"/>
      <c r="L48" s="164">
        <f>550852.1+4554966.78</f>
        <v>5105818.88</v>
      </c>
      <c r="M48" s="61"/>
      <c r="N48" s="164">
        <f>+'Interest Bearing Assets'!G49</f>
        <v>6550000</v>
      </c>
      <c r="O48" s="61"/>
      <c r="P48" s="173">
        <f>+'Interest Bearing Assets'!I49</f>
        <v>8550000</v>
      </c>
      <c r="Q48" s="176"/>
      <c r="R48" s="173">
        <f>+'Interest Bearing Assets'!K49</f>
        <v>9950000</v>
      </c>
      <c r="S48" s="176"/>
      <c r="T48" s="173">
        <f>+'Interest Bearing Assets'!M49</f>
        <v>11400000</v>
      </c>
      <c r="U48" s="176"/>
      <c r="V48" s="173">
        <f>+'Interest Bearing Assets'!O49</f>
        <v>12850000</v>
      </c>
    </row>
    <row r="49" spans="1:23" ht="12.75" customHeight="1" x14ac:dyDescent="0.15">
      <c r="A49" s="14" t="s">
        <v>31</v>
      </c>
      <c r="B49" s="28">
        <v>0</v>
      </c>
      <c r="C49" s="28"/>
      <c r="D49" s="35">
        <v>12100</v>
      </c>
      <c r="E49" s="35"/>
      <c r="F49" s="35">
        <f>2000+4000</f>
        <v>6000</v>
      </c>
      <c r="G49" s="35"/>
      <c r="H49" s="27">
        <v>11900</v>
      </c>
      <c r="I49" s="35"/>
      <c r="J49" s="164">
        <v>51400</v>
      </c>
      <c r="K49" s="61"/>
      <c r="L49" s="164">
        <v>60500</v>
      </c>
      <c r="M49" s="61"/>
      <c r="N49" s="164">
        <f>+L49+'CF Summary '!G39</f>
        <v>70500</v>
      </c>
      <c r="O49" s="61"/>
      <c r="P49" s="173">
        <f>+N49+'CF Summary '!I39</f>
        <v>80500</v>
      </c>
      <c r="Q49" s="176"/>
      <c r="R49" s="173">
        <f>+P49+'CF Summary '!K39</f>
        <v>90500</v>
      </c>
      <c r="S49" s="176"/>
      <c r="T49" s="173">
        <f>+R49+'CF Summary '!M39</f>
        <v>100500</v>
      </c>
      <c r="U49" s="176"/>
      <c r="V49" s="173">
        <f>+T49+'CF Summary '!O39</f>
        <v>110500</v>
      </c>
    </row>
    <row r="50" spans="1:23" ht="12.75" customHeight="1" x14ac:dyDescent="0.15">
      <c r="A50" s="14" t="s">
        <v>32</v>
      </c>
      <c r="B50" s="31">
        <v>1023608</v>
      </c>
      <c r="C50" s="31"/>
      <c r="D50" s="166">
        <v>1468308</v>
      </c>
      <c r="E50" s="166"/>
      <c r="F50" s="166">
        <v>1509917</v>
      </c>
      <c r="G50" s="166"/>
      <c r="H50" s="27">
        <v>985650</v>
      </c>
      <c r="I50" s="166"/>
      <c r="J50" s="164">
        <v>0</v>
      </c>
      <c r="K50" s="61"/>
      <c r="L50" s="164">
        <v>0</v>
      </c>
      <c r="M50" s="61"/>
      <c r="N50" s="164">
        <v>0</v>
      </c>
      <c r="O50" s="61"/>
      <c r="P50" s="173">
        <v>0</v>
      </c>
      <c r="Q50" s="176"/>
      <c r="R50" s="173">
        <v>0</v>
      </c>
      <c r="S50" s="176"/>
      <c r="T50" s="173">
        <v>0</v>
      </c>
      <c r="U50" s="176"/>
      <c r="V50" s="173">
        <v>0</v>
      </c>
    </row>
    <row r="51" spans="1:23" ht="12.75" customHeight="1" x14ac:dyDescent="0.15">
      <c r="A51" s="14" t="s">
        <v>29</v>
      </c>
      <c r="B51" s="86">
        <v>-369319</v>
      </c>
      <c r="C51" s="31"/>
      <c r="D51" s="168">
        <v>-610680</v>
      </c>
      <c r="E51" s="166"/>
      <c r="F51" s="168">
        <v>-548942</v>
      </c>
      <c r="G51" s="166"/>
      <c r="H51" s="122">
        <v>-867231</v>
      </c>
      <c r="I51" s="166"/>
      <c r="J51" s="164">
        <v>-2419803.5499999998</v>
      </c>
      <c r="K51" s="61"/>
      <c r="L51" s="164">
        <v>-3482625.4</v>
      </c>
      <c r="M51" s="61"/>
      <c r="N51" s="173">
        <f>-2449468-331000</f>
        <v>-2780468</v>
      </c>
      <c r="O51" s="61"/>
      <c r="P51" s="173">
        <f>+N51-'Condensed IS'!R38</f>
        <v>-2980468</v>
      </c>
      <c r="Q51" s="176"/>
      <c r="R51" s="173">
        <f>+P51-'Condensed IS'!T38</f>
        <v>-3180468</v>
      </c>
      <c r="S51" s="176"/>
      <c r="T51" s="173">
        <f>+R51-'Condensed IS'!V38</f>
        <v>-3380468</v>
      </c>
      <c r="U51" s="176"/>
      <c r="V51" s="173">
        <f>+T51-'Condensed IS'!X38</f>
        <v>-3580468</v>
      </c>
    </row>
    <row r="52" spans="1:23" s="20" customFormat="1" ht="12.75" customHeight="1" x14ac:dyDescent="0.15">
      <c r="A52" s="275" t="s">
        <v>287</v>
      </c>
      <c r="B52" s="276">
        <v>0</v>
      </c>
      <c r="C52" s="177"/>
      <c r="D52" s="277">
        <v>0</v>
      </c>
      <c r="E52" s="181"/>
      <c r="F52" s="277">
        <v>0</v>
      </c>
      <c r="G52" s="181"/>
      <c r="H52" s="122">
        <v>0</v>
      </c>
      <c r="I52" s="181"/>
      <c r="J52" s="173">
        <v>0</v>
      </c>
      <c r="K52" s="61"/>
      <c r="L52" s="173">
        <f>286861+1131300</f>
        <v>1418161</v>
      </c>
      <c r="M52" s="61"/>
      <c r="N52" s="173">
        <v>1435197</v>
      </c>
      <c r="O52" s="61"/>
      <c r="P52" s="173">
        <f>+N52-58676</f>
        <v>1376521</v>
      </c>
      <c r="Q52" s="176"/>
      <c r="R52" s="173">
        <f>+P52-58676</f>
        <v>1317845</v>
      </c>
      <c r="S52" s="176"/>
      <c r="T52" s="173">
        <f>+R52-58676</f>
        <v>1259169</v>
      </c>
      <c r="U52" s="176"/>
      <c r="V52" s="173">
        <f>+T52-58676</f>
        <v>1200493</v>
      </c>
      <c r="W52" s="8"/>
    </row>
    <row r="53" spans="1:23" ht="12.75" customHeight="1" x14ac:dyDescent="0.15">
      <c r="A53" s="278" t="s">
        <v>282</v>
      </c>
      <c r="B53" s="177">
        <v>36488</v>
      </c>
      <c r="C53" s="177"/>
      <c r="D53" s="181">
        <v>26060</v>
      </c>
      <c r="E53" s="181"/>
      <c r="F53" s="181">
        <f>170653-136216</f>
        <v>34437</v>
      </c>
      <c r="G53" s="181"/>
      <c r="H53" s="122">
        <v>26904</v>
      </c>
      <c r="I53" s="181"/>
      <c r="J53" s="173">
        <v>28446.69</v>
      </c>
      <c r="K53" s="61"/>
      <c r="L53" s="173">
        <v>147865</v>
      </c>
      <c r="M53" s="61"/>
      <c r="N53" s="173">
        <v>233096</v>
      </c>
      <c r="O53" s="61"/>
      <c r="P53" s="173">
        <f>+N53-1117</f>
        <v>231979</v>
      </c>
      <c r="Q53" s="176"/>
      <c r="R53" s="173">
        <f>+P53-1117</f>
        <v>230862</v>
      </c>
      <c r="S53" s="176"/>
      <c r="T53" s="173">
        <f>+R53-1117</f>
        <v>229745</v>
      </c>
      <c r="U53" s="176"/>
      <c r="V53" s="173">
        <f>+T53-1117</f>
        <v>228628</v>
      </c>
      <c r="W53" s="8"/>
    </row>
    <row r="54" spans="1:23" ht="12.75" customHeight="1" x14ac:dyDescent="0.15">
      <c r="A54" s="14" t="s">
        <v>28</v>
      </c>
      <c r="B54" s="31">
        <v>52737</v>
      </c>
      <c r="C54" s="31"/>
      <c r="D54" s="166">
        <v>187238</v>
      </c>
      <c r="E54" s="166"/>
      <c r="F54" s="166">
        <f>174948-14205</f>
        <v>160743</v>
      </c>
      <c r="G54" s="166"/>
      <c r="H54" s="27">
        <v>154927</v>
      </c>
      <c r="I54" s="166"/>
      <c r="J54" s="164">
        <v>32083.33</v>
      </c>
      <c r="K54" s="61"/>
      <c r="L54" s="164">
        <v>30966.5</v>
      </c>
      <c r="M54" s="61"/>
      <c r="N54" s="164">
        <v>30000</v>
      </c>
      <c r="O54" s="61"/>
      <c r="P54" s="173">
        <f>+N54-1100</f>
        <v>28900</v>
      </c>
      <c r="Q54" s="176"/>
      <c r="R54" s="173">
        <f>+P54-1100</f>
        <v>27800</v>
      </c>
      <c r="S54" s="176"/>
      <c r="T54" s="173">
        <f>+R54-1100</f>
        <v>26700</v>
      </c>
      <c r="U54" s="176"/>
      <c r="V54" s="173">
        <f>+T54-1100</f>
        <v>25600</v>
      </c>
    </row>
    <row r="55" spans="1:23" s="20" customFormat="1" ht="12.75" customHeight="1" x14ac:dyDescent="0.15">
      <c r="A55" s="14" t="s">
        <v>222</v>
      </c>
      <c r="B55" s="33">
        <v>0</v>
      </c>
      <c r="C55" s="31"/>
      <c r="D55" s="165">
        <v>0</v>
      </c>
      <c r="E55" s="166"/>
      <c r="F55" s="165">
        <v>0</v>
      </c>
      <c r="G55" s="166"/>
      <c r="H55" s="120">
        <v>0</v>
      </c>
      <c r="I55" s="166"/>
      <c r="J55" s="174">
        <v>450</v>
      </c>
      <c r="K55" s="61"/>
      <c r="L55" s="174">
        <v>450</v>
      </c>
      <c r="M55" s="61"/>
      <c r="N55" s="174">
        <v>1500</v>
      </c>
      <c r="O55" s="61"/>
      <c r="P55" s="174">
        <v>1500</v>
      </c>
      <c r="Q55" s="99"/>
      <c r="R55" s="174">
        <v>1500</v>
      </c>
      <c r="S55" s="99"/>
      <c r="T55" s="174">
        <v>1500</v>
      </c>
      <c r="U55" s="99"/>
      <c r="V55" s="174">
        <v>1500</v>
      </c>
    </row>
    <row r="56" spans="1:23" ht="12.75" customHeight="1" x14ac:dyDescent="0.15">
      <c r="A56" s="14" t="s">
        <v>33</v>
      </c>
      <c r="B56" s="30">
        <f>SUM(B41:B55)</f>
        <v>26661124</v>
      </c>
      <c r="C56" s="28"/>
      <c r="D56" s="169">
        <f>SUM(D41:D55)</f>
        <v>27756863</v>
      </c>
      <c r="E56" s="35"/>
      <c r="F56" s="169">
        <f>SUM(F41:F55)</f>
        <v>31468725</v>
      </c>
      <c r="G56" s="35"/>
      <c r="H56" s="120">
        <f>SUM(H41:H55)</f>
        <v>23933683</v>
      </c>
      <c r="I56" s="35"/>
      <c r="J56" s="174">
        <f>SUM(J41:J55)</f>
        <v>19792655.509999998</v>
      </c>
      <c r="K56" s="61"/>
      <c r="L56" s="174">
        <f>SUM(L41:L55)</f>
        <v>23476803.389999997</v>
      </c>
      <c r="M56" s="61"/>
      <c r="N56" s="174">
        <f>SUM(N41:N55)</f>
        <v>29692347</v>
      </c>
      <c r="O56" s="61"/>
      <c r="P56" s="174">
        <f>SUM(P41:P55)</f>
        <v>33695608.333333328</v>
      </c>
      <c r="Q56" s="99"/>
      <c r="R56" s="174">
        <f>SUM(R41:R54)</f>
        <v>36916827.666666664</v>
      </c>
      <c r="S56" s="99"/>
      <c r="T56" s="174">
        <f>SUM(T41:T54)</f>
        <v>39559903</v>
      </c>
      <c r="U56" s="99"/>
      <c r="V56" s="174">
        <f>SUM(V41:V54)</f>
        <v>41738628.333333328</v>
      </c>
      <c r="W56" s="8"/>
    </row>
    <row r="57" spans="1:23" ht="12.75" customHeight="1" thickBot="1" x14ac:dyDescent="0.2">
      <c r="A57" s="14" t="s">
        <v>34</v>
      </c>
      <c r="B57" s="32">
        <f>+B39+B56</f>
        <v>40688777</v>
      </c>
      <c r="C57" s="28"/>
      <c r="D57" s="170">
        <f>+D39+D56</f>
        <v>38360014</v>
      </c>
      <c r="E57" s="35"/>
      <c r="F57" s="170">
        <f>+F39+F56</f>
        <v>40128879</v>
      </c>
      <c r="G57" s="35"/>
      <c r="H57" s="121">
        <f>+H39+H56</f>
        <v>38661762</v>
      </c>
      <c r="I57" s="35"/>
      <c r="J57" s="178">
        <f>+J39+J56</f>
        <v>37487592.039999992</v>
      </c>
      <c r="K57" s="61"/>
      <c r="L57" s="178">
        <f>+L39+L56</f>
        <v>39770017.148999996</v>
      </c>
      <c r="M57" s="61"/>
      <c r="N57" s="178">
        <f>+N39+N56</f>
        <v>47280762.856893606</v>
      </c>
      <c r="O57" s="61"/>
      <c r="P57" s="266">
        <f>+P39+P56</f>
        <v>49525107.073749386</v>
      </c>
      <c r="Q57" s="99"/>
      <c r="R57" s="266">
        <f>+R39+R56</f>
        <v>51607346.447560415</v>
      </c>
      <c r="S57" s="99"/>
      <c r="T57" s="266">
        <f>+T39+T56</f>
        <v>53789813.163490422</v>
      </c>
      <c r="U57" s="99"/>
      <c r="V57" s="266">
        <f>+V39+V56</f>
        <v>56026087.343535803</v>
      </c>
      <c r="W57" s="8"/>
    </row>
    <row r="58" spans="1:23" ht="11.25" thickTop="1" x14ac:dyDescent="0.15">
      <c r="A58" s="14"/>
      <c r="B58" s="28"/>
      <c r="C58" s="28"/>
      <c r="D58" s="35"/>
      <c r="E58" s="35"/>
      <c r="F58" s="35"/>
      <c r="G58" s="35"/>
      <c r="H58" s="167"/>
      <c r="I58" s="35"/>
      <c r="J58" s="28"/>
      <c r="K58" s="61"/>
      <c r="L58" s="28"/>
      <c r="M58" s="61"/>
      <c r="N58" s="28"/>
      <c r="O58" s="61"/>
      <c r="P58" s="99"/>
      <c r="Q58" s="99"/>
      <c r="R58" s="99"/>
      <c r="S58" s="99"/>
      <c r="T58" s="99"/>
      <c r="U58" s="99"/>
      <c r="V58" s="99"/>
      <c r="W58" s="8"/>
    </row>
    <row r="59" spans="1:23" x14ac:dyDescent="0.15">
      <c r="A59" s="14"/>
      <c r="B59" s="28"/>
      <c r="C59" s="28"/>
      <c r="D59" s="35"/>
      <c r="E59" s="35"/>
      <c r="F59" s="35"/>
      <c r="G59" s="35"/>
      <c r="H59" s="167"/>
      <c r="I59" s="35"/>
      <c r="J59" s="28"/>
      <c r="K59" s="61"/>
      <c r="L59" s="28"/>
      <c r="M59" s="61"/>
      <c r="N59" s="28"/>
      <c r="O59" s="61"/>
      <c r="P59" s="99"/>
      <c r="Q59" s="99"/>
      <c r="R59" s="99"/>
      <c r="S59" s="99"/>
      <c r="T59" s="99"/>
      <c r="U59" s="99"/>
      <c r="V59" s="99"/>
    </row>
    <row r="60" spans="1:23" ht="12.75" customHeight="1" x14ac:dyDescent="0.15">
      <c r="A60" s="14" t="s">
        <v>35</v>
      </c>
      <c r="B60" s="28"/>
      <c r="C60" s="28"/>
      <c r="D60" s="35"/>
      <c r="E60" s="35"/>
      <c r="F60" s="35"/>
      <c r="G60" s="35"/>
      <c r="H60" s="167"/>
      <c r="I60" s="35"/>
      <c r="J60" s="28"/>
      <c r="K60" s="61"/>
      <c r="L60" s="28"/>
      <c r="M60" s="61"/>
      <c r="N60" s="28"/>
      <c r="O60" s="61"/>
      <c r="P60" s="99"/>
      <c r="Q60" s="99"/>
      <c r="R60" s="99"/>
      <c r="S60" s="99"/>
      <c r="T60" s="99"/>
      <c r="U60" s="99"/>
      <c r="V60" s="99"/>
    </row>
    <row r="61" spans="1:23" ht="12.75" hidden="1" customHeight="1" x14ac:dyDescent="0.15">
      <c r="A61" s="14" t="s">
        <v>37</v>
      </c>
      <c r="B61" s="28"/>
      <c r="C61" s="28"/>
      <c r="D61" s="35"/>
      <c r="E61" s="35"/>
      <c r="F61" s="35"/>
      <c r="G61" s="35"/>
      <c r="H61" s="167"/>
      <c r="I61" s="35"/>
      <c r="J61" s="28"/>
      <c r="K61" s="61"/>
      <c r="L61" s="28"/>
      <c r="M61" s="61"/>
      <c r="N61" s="28"/>
      <c r="O61" s="61"/>
      <c r="P61" s="99"/>
      <c r="Q61" s="99"/>
      <c r="R61" s="99"/>
      <c r="S61" s="99"/>
      <c r="T61" s="99"/>
      <c r="U61" s="99"/>
      <c r="V61" s="99"/>
    </row>
    <row r="62" spans="1:23" ht="12.75" hidden="1" customHeight="1" x14ac:dyDescent="0.15">
      <c r="A62" s="14" t="s">
        <v>92</v>
      </c>
      <c r="B62" s="28"/>
      <c r="C62" s="28"/>
      <c r="D62" s="35"/>
      <c r="E62" s="35"/>
      <c r="F62" s="35"/>
      <c r="G62" s="35"/>
      <c r="H62" s="167">
        <v>0</v>
      </c>
      <c r="I62" s="35"/>
      <c r="J62" s="28">
        <v>0</v>
      </c>
      <c r="K62" s="61"/>
      <c r="L62" s="28"/>
      <c r="M62" s="61"/>
      <c r="N62" s="28"/>
      <c r="O62" s="61"/>
      <c r="P62" s="99"/>
      <c r="Q62" s="99"/>
      <c r="R62" s="99"/>
      <c r="S62" s="99"/>
      <c r="T62" s="99"/>
      <c r="U62" s="99"/>
      <c r="V62" s="99"/>
    </row>
    <row r="63" spans="1:23" ht="12.75" hidden="1" customHeight="1" x14ac:dyDescent="0.15">
      <c r="A63" s="14" t="s">
        <v>38</v>
      </c>
      <c r="B63" s="28"/>
      <c r="C63" s="28"/>
      <c r="D63" s="35"/>
      <c r="E63" s="35"/>
      <c r="F63" s="35"/>
      <c r="G63" s="35"/>
      <c r="H63" s="167">
        <v>28267.040000000001</v>
      </c>
      <c r="I63" s="35"/>
      <c r="J63" s="28">
        <v>28267.040000000001</v>
      </c>
      <c r="K63" s="61"/>
      <c r="L63" s="28"/>
      <c r="M63" s="61"/>
      <c r="N63" s="28"/>
      <c r="O63" s="61"/>
      <c r="P63" s="99"/>
      <c r="Q63" s="99"/>
      <c r="R63" s="99"/>
      <c r="S63" s="99"/>
      <c r="T63" s="99"/>
      <c r="U63" s="99"/>
      <c r="V63" s="99"/>
    </row>
    <row r="64" spans="1:23" ht="12.75" hidden="1" customHeight="1" x14ac:dyDescent="0.15">
      <c r="A64" s="14" t="s">
        <v>39</v>
      </c>
      <c r="B64" s="28"/>
      <c r="C64" s="28"/>
      <c r="D64" s="35"/>
      <c r="E64" s="35"/>
      <c r="F64" s="35"/>
      <c r="G64" s="35"/>
      <c r="H64" s="167">
        <v>38091.440000000002</v>
      </c>
      <c r="I64" s="35"/>
      <c r="J64" s="28">
        <v>38091.440000000002</v>
      </c>
      <c r="K64" s="61"/>
      <c r="L64" s="28"/>
      <c r="M64" s="61"/>
      <c r="N64" s="28"/>
      <c r="O64" s="61"/>
      <c r="P64" s="99"/>
      <c r="Q64" s="99"/>
      <c r="R64" s="99"/>
      <c r="S64" s="99"/>
      <c r="T64" s="99"/>
      <c r="U64" s="99"/>
      <c r="V64" s="99"/>
    </row>
    <row r="65" spans="1:22" ht="12.75" hidden="1" customHeight="1" x14ac:dyDescent="0.15">
      <c r="A65" s="14" t="s">
        <v>40</v>
      </c>
      <c r="B65" s="33"/>
      <c r="C65" s="28"/>
      <c r="D65" s="165"/>
      <c r="E65" s="35"/>
      <c r="F65" s="166"/>
      <c r="G65" s="35"/>
      <c r="H65" s="169">
        <v>0</v>
      </c>
      <c r="I65" s="35"/>
      <c r="J65" s="33">
        <v>0</v>
      </c>
      <c r="K65" s="28"/>
      <c r="L65" s="31"/>
      <c r="M65" s="28"/>
      <c r="N65" s="33"/>
      <c r="O65" s="28"/>
      <c r="P65" s="175"/>
      <c r="Q65" s="99"/>
      <c r="R65" s="175"/>
      <c r="S65" s="99"/>
      <c r="T65" s="175"/>
      <c r="U65" s="99"/>
      <c r="V65" s="175"/>
    </row>
    <row r="66" spans="1:22" ht="12.75" customHeight="1" x14ac:dyDescent="0.15">
      <c r="A66" s="14" t="s">
        <v>36</v>
      </c>
      <c r="B66" s="31"/>
      <c r="C66" s="28"/>
      <c r="D66" s="166"/>
      <c r="E66" s="35"/>
      <c r="F66" s="166"/>
      <c r="G66" s="35"/>
      <c r="H66" s="171"/>
      <c r="I66" s="35"/>
      <c r="J66" s="31"/>
      <c r="K66" s="61"/>
      <c r="L66" s="31"/>
      <c r="M66" s="61"/>
      <c r="N66" s="31"/>
      <c r="O66" s="61"/>
      <c r="P66" s="177"/>
      <c r="Q66" s="99"/>
      <c r="R66" s="177"/>
      <c r="S66" s="99"/>
      <c r="T66" s="177"/>
      <c r="U66" s="99"/>
      <c r="V66" s="177"/>
    </row>
    <row r="67" spans="1:22" ht="12.75" customHeight="1" x14ac:dyDescent="0.15">
      <c r="A67" s="14" t="s">
        <v>37</v>
      </c>
      <c r="B67" s="28">
        <v>233699</v>
      </c>
      <c r="C67" s="28"/>
      <c r="D67" s="35">
        <v>143262</v>
      </c>
      <c r="E67" s="35"/>
      <c r="F67" s="35">
        <v>159610</v>
      </c>
      <c r="G67" s="35"/>
      <c r="H67" s="164">
        <v>107799</v>
      </c>
      <c r="I67" s="35"/>
      <c r="J67" s="164">
        <v>146630</v>
      </c>
      <c r="K67" s="61"/>
      <c r="L67" s="164">
        <f>55025.7+101.5+49537.68+4156.81</f>
        <v>108821.69</v>
      </c>
      <c r="M67" s="61"/>
      <c r="N67" s="164">
        <v>100000</v>
      </c>
      <c r="O67" s="61"/>
      <c r="P67" s="173">
        <v>100000</v>
      </c>
      <c r="Q67" s="176"/>
      <c r="R67" s="173">
        <v>100000</v>
      </c>
      <c r="S67" s="176"/>
      <c r="T67" s="173">
        <v>100000</v>
      </c>
      <c r="U67" s="176"/>
      <c r="V67" s="173">
        <v>100000</v>
      </c>
    </row>
    <row r="68" spans="1:22" s="20" customFormat="1" ht="12.75" customHeight="1" x14ac:dyDescent="0.15">
      <c r="A68" s="14" t="s">
        <v>288</v>
      </c>
      <c r="B68" s="28">
        <v>0</v>
      </c>
      <c r="C68" s="28"/>
      <c r="D68" s="35">
        <v>0</v>
      </c>
      <c r="E68" s="35"/>
      <c r="F68" s="35">
        <v>0</v>
      </c>
      <c r="G68" s="35"/>
      <c r="H68" s="164">
        <v>0</v>
      </c>
      <c r="I68" s="35"/>
      <c r="J68" s="164">
        <v>0</v>
      </c>
      <c r="K68" s="61"/>
      <c r="L68" s="164">
        <v>1074735</v>
      </c>
      <c r="M68" s="61"/>
      <c r="N68" s="164">
        <v>0</v>
      </c>
      <c r="O68" s="61"/>
      <c r="P68" s="173">
        <v>0</v>
      </c>
      <c r="Q68" s="176"/>
      <c r="R68" s="173">
        <v>0</v>
      </c>
      <c r="S68" s="176"/>
      <c r="T68" s="173">
        <v>0</v>
      </c>
      <c r="U68" s="176"/>
      <c r="V68" s="173">
        <v>0</v>
      </c>
    </row>
    <row r="69" spans="1:22" s="20" customFormat="1" ht="12.75" customHeight="1" x14ac:dyDescent="0.15">
      <c r="A69" s="14" t="s">
        <v>193</v>
      </c>
      <c r="B69" s="28">
        <v>0</v>
      </c>
      <c r="C69" s="28"/>
      <c r="D69" s="35">
        <v>0</v>
      </c>
      <c r="E69" s="35"/>
      <c r="F69" s="35">
        <v>0</v>
      </c>
      <c r="G69" s="35"/>
      <c r="H69" s="164">
        <v>0</v>
      </c>
      <c r="I69" s="35"/>
      <c r="J69" s="164">
        <v>96000</v>
      </c>
      <c r="K69" s="61"/>
      <c r="L69" s="164">
        <v>0</v>
      </c>
      <c r="M69" s="61"/>
      <c r="N69" s="164">
        <v>0</v>
      </c>
      <c r="O69" s="61"/>
      <c r="P69" s="173">
        <v>0</v>
      </c>
      <c r="Q69" s="176"/>
      <c r="R69" s="173">
        <v>0</v>
      </c>
      <c r="S69" s="176"/>
      <c r="T69" s="173">
        <v>0</v>
      </c>
      <c r="U69" s="176"/>
      <c r="V69" s="173">
        <v>0</v>
      </c>
    </row>
    <row r="70" spans="1:22" ht="12.75" customHeight="1" x14ac:dyDescent="0.15">
      <c r="A70" s="14" t="s">
        <v>41</v>
      </c>
      <c r="B70" s="28">
        <v>5182</v>
      </c>
      <c r="C70" s="28"/>
      <c r="D70" s="35">
        <v>68277</v>
      </c>
      <c r="E70" s="35"/>
      <c r="F70" s="35">
        <v>12222</v>
      </c>
      <c r="G70" s="35"/>
      <c r="H70" s="164">
        <v>4564</v>
      </c>
      <c r="I70" s="35"/>
      <c r="J70" s="164">
        <f>5675.49+127342.39</f>
        <v>133017.88</v>
      </c>
      <c r="K70" s="61"/>
      <c r="L70" s="164">
        <f>6366.52+30374.8</f>
        <v>36741.32</v>
      </c>
      <c r="M70" s="61"/>
      <c r="N70" s="164">
        <v>200000</v>
      </c>
      <c r="O70" s="61"/>
      <c r="P70" s="173">
        <v>133333</v>
      </c>
      <c r="Q70" s="176"/>
      <c r="R70" s="173">
        <v>160000</v>
      </c>
      <c r="S70" s="176"/>
      <c r="T70" s="173">
        <v>160000</v>
      </c>
      <c r="U70" s="176"/>
      <c r="V70" s="173">
        <v>200000</v>
      </c>
    </row>
    <row r="71" spans="1:22" ht="12.75" customHeight="1" x14ac:dyDescent="0.15">
      <c r="A71" s="14" t="s">
        <v>100</v>
      </c>
      <c r="B71" s="28">
        <v>0</v>
      </c>
      <c r="C71" s="28"/>
      <c r="D71" s="35">
        <v>22408</v>
      </c>
      <c r="E71" s="35"/>
      <c r="F71" s="35">
        <v>197716</v>
      </c>
      <c r="G71" s="35"/>
      <c r="H71" s="164">
        <v>301704</v>
      </c>
      <c r="I71" s="35"/>
      <c r="J71" s="164">
        <v>767607</v>
      </c>
      <c r="K71" s="61"/>
      <c r="L71" s="173">
        <v>185176.11</v>
      </c>
      <c r="M71" s="61"/>
      <c r="N71" s="173">
        <v>800000</v>
      </c>
      <c r="O71" s="61"/>
      <c r="P71" s="173">
        <f>+N71+300000</f>
        <v>1100000</v>
      </c>
      <c r="Q71" s="176"/>
      <c r="R71" s="173">
        <f>+P71+300000</f>
        <v>1400000</v>
      </c>
      <c r="S71" s="176"/>
      <c r="T71" s="173">
        <f>+R71+300000</f>
        <v>1700000</v>
      </c>
      <c r="U71" s="176"/>
      <c r="V71" s="173">
        <f>+T71+300000</f>
        <v>2000000</v>
      </c>
    </row>
    <row r="72" spans="1:22" ht="12.75" customHeight="1" x14ac:dyDescent="0.15">
      <c r="A72" s="14" t="s">
        <v>101</v>
      </c>
      <c r="B72" s="28">
        <f>19694+37633+584+6794+2498+715+217</f>
        <v>68135</v>
      </c>
      <c r="C72" s="28"/>
      <c r="D72" s="35">
        <f>25356+144+9872+6847+1327</f>
        <v>43546</v>
      </c>
      <c r="E72" s="35"/>
      <c r="F72" s="35">
        <f>23401+81+14897+2476+1487+306</f>
        <v>42648</v>
      </c>
      <c r="G72" s="35"/>
      <c r="H72" s="164">
        <f>27192+7+19982+7423+244-1</f>
        <v>54847</v>
      </c>
      <c r="I72" s="35"/>
      <c r="J72" s="164">
        <v>70070</v>
      </c>
      <c r="K72" s="61"/>
      <c r="L72" s="164">
        <f>35698.11+33999.72+3813-0.1+243.7</f>
        <v>73754.429999999993</v>
      </c>
      <c r="M72" s="61"/>
      <c r="N72" s="164">
        <v>100000</v>
      </c>
      <c r="O72" s="61"/>
      <c r="P72" s="173">
        <v>50000</v>
      </c>
      <c r="Q72" s="176"/>
      <c r="R72" s="173">
        <v>50000</v>
      </c>
      <c r="S72" s="176"/>
      <c r="T72" s="173">
        <v>50000</v>
      </c>
      <c r="U72" s="176"/>
      <c r="V72" s="173">
        <v>50000</v>
      </c>
    </row>
    <row r="73" spans="1:22" ht="12.75" customHeight="1" x14ac:dyDescent="0.15">
      <c r="A73" s="14" t="s">
        <v>102</v>
      </c>
      <c r="B73" s="33">
        <v>1350</v>
      </c>
      <c r="C73" s="28"/>
      <c r="D73" s="165">
        <f>646+47284</f>
        <v>47930</v>
      </c>
      <c r="E73" s="35"/>
      <c r="F73" s="165">
        <f>11902+1653+6315</f>
        <v>19870</v>
      </c>
      <c r="G73" s="35"/>
      <c r="H73" s="174">
        <f>102+19024+250+13005</f>
        <v>32381</v>
      </c>
      <c r="I73" s="35"/>
      <c r="J73" s="174">
        <v>65874</v>
      </c>
      <c r="K73" s="61"/>
      <c r="L73" s="174">
        <v>70142.600000000006</v>
      </c>
      <c r="M73" s="61"/>
      <c r="N73" s="174">
        <v>147560</v>
      </c>
      <c r="O73" s="61"/>
      <c r="P73" s="174">
        <v>100000</v>
      </c>
      <c r="Q73" s="99"/>
      <c r="R73" s="174">
        <v>150000</v>
      </c>
      <c r="S73" s="99"/>
      <c r="T73" s="174">
        <v>150000</v>
      </c>
      <c r="U73" s="99"/>
      <c r="V73" s="174">
        <v>150000</v>
      </c>
    </row>
    <row r="74" spans="1:22" ht="12.75" customHeight="1" x14ac:dyDescent="0.15">
      <c r="A74" s="14" t="s">
        <v>42</v>
      </c>
      <c r="B74" s="28">
        <f>SUM(B67:B73)</f>
        <v>308366</v>
      </c>
      <c r="C74" s="29"/>
      <c r="D74" s="35">
        <f>SUM(D67:D73)</f>
        <v>325423</v>
      </c>
      <c r="E74" s="167"/>
      <c r="F74" s="35">
        <f>SUM(F67:F73)</f>
        <v>432066</v>
      </c>
      <c r="G74" s="167"/>
      <c r="H74" s="164">
        <f>SUM(H67:H73)</f>
        <v>501295</v>
      </c>
      <c r="I74" s="167"/>
      <c r="J74" s="164">
        <f>SUM(J67:J73)</f>
        <v>1279198.8799999999</v>
      </c>
      <c r="K74" s="61"/>
      <c r="L74" s="164">
        <f>SUM(L67:L73)</f>
        <v>1549371.1500000001</v>
      </c>
      <c r="M74" s="61"/>
      <c r="N74" s="164">
        <f>SUM(N67:N73)</f>
        <v>1347560</v>
      </c>
      <c r="O74" s="61"/>
      <c r="P74" s="173">
        <f>SUM(P67:P73)</f>
        <v>1483333</v>
      </c>
      <c r="Q74" s="176"/>
      <c r="R74" s="173">
        <f>SUM(R67:R73)</f>
        <v>1860000</v>
      </c>
      <c r="S74" s="176"/>
      <c r="T74" s="173">
        <f>SUM(T67:T73)</f>
        <v>2160000</v>
      </c>
      <c r="U74" s="176"/>
      <c r="V74" s="173">
        <f>SUM(V67:V73)</f>
        <v>2500000</v>
      </c>
    </row>
    <row r="75" spans="1:22" ht="12.75" customHeight="1" x14ac:dyDescent="0.15">
      <c r="A75" s="14" t="s">
        <v>43</v>
      </c>
      <c r="B75" s="28"/>
      <c r="C75" s="28"/>
      <c r="D75" s="35"/>
      <c r="E75" s="35"/>
      <c r="F75" s="35"/>
      <c r="G75" s="35"/>
      <c r="H75" s="167"/>
      <c r="I75" s="35"/>
      <c r="J75" s="28"/>
      <c r="K75" s="61"/>
      <c r="L75" s="28"/>
      <c r="M75" s="61"/>
      <c r="N75" s="28"/>
      <c r="O75" s="61"/>
      <c r="P75" s="176"/>
      <c r="Q75" s="176"/>
      <c r="R75" s="176"/>
      <c r="S75" s="176"/>
      <c r="T75" s="176"/>
      <c r="U75" s="176"/>
      <c r="V75" s="176"/>
    </row>
    <row r="76" spans="1:22" ht="12.75" hidden="1" customHeight="1" x14ac:dyDescent="0.15">
      <c r="A76" s="14" t="s">
        <v>44</v>
      </c>
      <c r="B76" s="28"/>
      <c r="C76" s="28"/>
      <c r="D76" s="35"/>
      <c r="E76" s="35"/>
      <c r="F76" s="35"/>
      <c r="G76" s="35"/>
      <c r="H76" s="167"/>
      <c r="I76" s="35"/>
      <c r="J76" s="28"/>
      <c r="K76" s="61"/>
      <c r="L76" s="28"/>
      <c r="M76" s="61"/>
      <c r="N76" s="28"/>
      <c r="O76" s="61"/>
      <c r="P76" s="176"/>
      <c r="Q76" s="176"/>
      <c r="R76" s="176"/>
      <c r="S76" s="176"/>
      <c r="T76" s="176"/>
      <c r="U76" s="176"/>
      <c r="V76" s="176"/>
    </row>
    <row r="77" spans="1:22" ht="12.75" hidden="1" customHeight="1" x14ac:dyDescent="0.15">
      <c r="A77" s="14" t="s">
        <v>45</v>
      </c>
      <c r="B77" s="31"/>
      <c r="C77" s="31"/>
      <c r="D77" s="166"/>
      <c r="E77" s="166"/>
      <c r="F77" s="166"/>
      <c r="G77" s="166"/>
      <c r="H77" s="171">
        <v>2573456.21</v>
      </c>
      <c r="I77" s="166"/>
      <c r="J77" s="31">
        <v>2573456.21</v>
      </c>
      <c r="K77" s="61"/>
      <c r="L77" s="31"/>
      <c r="M77" s="61"/>
      <c r="N77" s="31"/>
      <c r="O77" s="61"/>
      <c r="P77" s="181"/>
      <c r="Q77" s="181"/>
      <c r="R77" s="181"/>
      <c r="S77" s="181"/>
      <c r="T77" s="181"/>
      <c r="U77" s="181"/>
      <c r="V77" s="181"/>
    </row>
    <row r="78" spans="1:22" ht="12.75" hidden="1" customHeight="1" x14ac:dyDescent="0.15">
      <c r="A78" s="14" t="s">
        <v>93</v>
      </c>
      <c r="B78" s="33"/>
      <c r="C78" s="33"/>
      <c r="D78" s="165"/>
      <c r="E78" s="165"/>
      <c r="F78" s="166"/>
      <c r="G78" s="166"/>
      <c r="H78" s="169">
        <v>-1846</v>
      </c>
      <c r="I78" s="166"/>
      <c r="J78" s="33">
        <v>-1846</v>
      </c>
      <c r="K78" s="61"/>
      <c r="L78" s="33"/>
      <c r="M78" s="61"/>
      <c r="N78" s="33"/>
      <c r="O78" s="61"/>
      <c r="P78" s="182"/>
      <c r="Q78" s="182"/>
      <c r="R78" s="182"/>
      <c r="S78" s="182"/>
      <c r="T78" s="182"/>
      <c r="U78" s="182"/>
      <c r="V78" s="182"/>
    </row>
    <row r="79" spans="1:22" ht="12.75" customHeight="1" x14ac:dyDescent="0.15">
      <c r="A79" s="14" t="s">
        <v>46</v>
      </c>
      <c r="B79" s="28">
        <v>0</v>
      </c>
      <c r="C79" s="28"/>
      <c r="D79" s="35">
        <v>1477592</v>
      </c>
      <c r="E79" s="35"/>
      <c r="F79" s="35">
        <v>6368729</v>
      </c>
      <c r="G79" s="35"/>
      <c r="H79" s="164">
        <v>9693626</v>
      </c>
      <c r="I79" s="35"/>
      <c r="J79" s="99">
        <v>7800386</v>
      </c>
      <c r="K79" s="61"/>
      <c r="L79" s="99">
        <v>9590545.8699999992</v>
      </c>
      <c r="M79" s="61"/>
      <c r="N79" s="99">
        <f>16604357-800000</f>
        <v>15804357</v>
      </c>
      <c r="O79" s="61"/>
      <c r="P79" s="173">
        <f>+N79+'CF Summary '!I11-'CF Summary '!I19-300000</f>
        <v>17995305</v>
      </c>
      <c r="Q79" s="176"/>
      <c r="R79" s="173">
        <f>+P79+'CF Summary '!K11-'CF Summary '!K19-300000</f>
        <v>19720305</v>
      </c>
      <c r="S79" s="176"/>
      <c r="T79" s="173">
        <f>+R79+'CF Summary '!M11-'CF Summary '!M19-300000</f>
        <v>21445305</v>
      </c>
      <c r="U79" s="176"/>
      <c r="V79" s="173">
        <f>+T79+'CF Summary '!O11-'CF Summary '!O19-300000</f>
        <v>23170305</v>
      </c>
    </row>
    <row r="80" spans="1:22" ht="12.75" customHeight="1" x14ac:dyDescent="0.15">
      <c r="A80" s="14" t="s">
        <v>47</v>
      </c>
      <c r="B80" s="28"/>
      <c r="C80" s="28"/>
      <c r="D80" s="35"/>
      <c r="E80" s="35"/>
      <c r="F80" s="35"/>
      <c r="G80" s="35"/>
      <c r="H80" s="164"/>
      <c r="I80" s="35"/>
      <c r="J80" s="28"/>
      <c r="K80" s="61"/>
      <c r="L80" s="28"/>
      <c r="M80" s="61"/>
      <c r="N80" s="28"/>
      <c r="O80" s="61"/>
      <c r="P80" s="173"/>
      <c r="Q80" s="176"/>
      <c r="R80" s="173"/>
      <c r="S80" s="176"/>
      <c r="T80" s="173"/>
      <c r="U80" s="176"/>
      <c r="V80" s="173"/>
    </row>
    <row r="81" spans="1:22" x14ac:dyDescent="0.15">
      <c r="A81" s="14" t="s">
        <v>48</v>
      </c>
      <c r="B81" s="28">
        <v>1338673</v>
      </c>
      <c r="C81" s="28"/>
      <c r="D81" s="35">
        <v>1213243</v>
      </c>
      <c r="E81" s="35"/>
      <c r="F81" s="35">
        <v>1077643</v>
      </c>
      <c r="G81" s="35"/>
      <c r="H81" s="164">
        <v>942043</v>
      </c>
      <c r="I81" s="35"/>
      <c r="J81" s="173">
        <v>806443.33</v>
      </c>
      <c r="K81" s="61"/>
      <c r="L81" s="173">
        <v>670843</v>
      </c>
      <c r="M81" s="61"/>
      <c r="N81" s="173">
        <f>+L81-135600</f>
        <v>535243</v>
      </c>
      <c r="O81" s="61"/>
      <c r="P81" s="173">
        <f>+N81-135600</f>
        <v>399643</v>
      </c>
      <c r="Q81" s="176"/>
      <c r="R81" s="173">
        <f>+P81-135600</f>
        <v>264043</v>
      </c>
      <c r="S81" s="176"/>
      <c r="T81" s="173">
        <f>+R81-135600</f>
        <v>128443</v>
      </c>
      <c r="U81" s="176"/>
      <c r="V81" s="173">
        <v>0</v>
      </c>
    </row>
    <row r="82" spans="1:22" x14ac:dyDescent="0.15">
      <c r="A82" s="14" t="s">
        <v>49</v>
      </c>
      <c r="B82" s="33">
        <v>-332385</v>
      </c>
      <c r="C82" s="28"/>
      <c r="D82" s="165">
        <v>-318191</v>
      </c>
      <c r="E82" s="35"/>
      <c r="F82" s="165">
        <v>-298502</v>
      </c>
      <c r="G82" s="35"/>
      <c r="H82" s="174">
        <v>-274355</v>
      </c>
      <c r="I82" s="35"/>
      <c r="J82" s="179">
        <v>-245922.11</v>
      </c>
      <c r="K82" s="61"/>
      <c r="L82" s="179">
        <v>-213367</v>
      </c>
      <c r="M82" s="61"/>
      <c r="N82" s="179">
        <v>-176848</v>
      </c>
      <c r="O82" s="61"/>
      <c r="P82" s="174">
        <v>-136519</v>
      </c>
      <c r="Q82" s="99"/>
      <c r="R82" s="174">
        <v>-92525</v>
      </c>
      <c r="S82" s="99"/>
      <c r="T82" s="174">
        <v>-45009</v>
      </c>
      <c r="U82" s="99"/>
      <c r="V82" s="174">
        <v>0</v>
      </c>
    </row>
    <row r="83" spans="1:22" ht="12.75" customHeight="1" x14ac:dyDescent="0.15">
      <c r="A83" s="14" t="s">
        <v>50</v>
      </c>
      <c r="B83" s="34">
        <f>SUM(B81:B82)</f>
        <v>1006288</v>
      </c>
      <c r="C83" s="28"/>
      <c r="D83" s="172">
        <f>SUM(D81:D82)</f>
        <v>895052</v>
      </c>
      <c r="E83" s="35"/>
      <c r="F83" s="172">
        <f>SUM(F81:F82)</f>
        <v>779141</v>
      </c>
      <c r="G83" s="35"/>
      <c r="H83" s="136">
        <f>SUM(H81:H82)</f>
        <v>667688</v>
      </c>
      <c r="I83" s="35"/>
      <c r="J83" s="179">
        <f>SUM(J81:J82)</f>
        <v>560521.22</v>
      </c>
      <c r="K83" s="61"/>
      <c r="L83" s="179">
        <f>SUM(L81:L82)</f>
        <v>457476</v>
      </c>
      <c r="M83" s="61"/>
      <c r="N83" s="179">
        <f>SUM(N81:N82)</f>
        <v>358395</v>
      </c>
      <c r="O83" s="61"/>
      <c r="P83" s="174">
        <f>SUM(P81:P82)</f>
        <v>263124</v>
      </c>
      <c r="Q83" s="99"/>
      <c r="R83" s="174">
        <f>SUM(R81:R82)</f>
        <v>171518</v>
      </c>
      <c r="S83" s="99"/>
      <c r="T83" s="174">
        <f>SUM(T81:T82)</f>
        <v>83434</v>
      </c>
      <c r="U83" s="99"/>
      <c r="V83" s="174">
        <f>SUM(V81:V82)</f>
        <v>0</v>
      </c>
    </row>
    <row r="84" spans="1:22" ht="12.75" customHeight="1" x14ac:dyDescent="0.15">
      <c r="A84" s="14" t="s">
        <v>51</v>
      </c>
      <c r="B84" s="34">
        <f>+B79+B83</f>
        <v>1006288</v>
      </c>
      <c r="C84" s="28"/>
      <c r="D84" s="172">
        <f>+D79+D83</f>
        <v>2372644</v>
      </c>
      <c r="E84" s="35"/>
      <c r="F84" s="172">
        <f>+F79+F83</f>
        <v>7147870</v>
      </c>
      <c r="G84" s="35"/>
      <c r="H84" s="136">
        <f>+H79+H83</f>
        <v>10361314</v>
      </c>
      <c r="I84" s="35"/>
      <c r="J84" s="179">
        <f>+J79+J83</f>
        <v>8360907.2199999997</v>
      </c>
      <c r="K84" s="61"/>
      <c r="L84" s="179">
        <f>+L79+L83</f>
        <v>10048021.869999999</v>
      </c>
      <c r="M84" s="61"/>
      <c r="N84" s="179">
        <f>+N79+N83</f>
        <v>16162752</v>
      </c>
      <c r="O84" s="61"/>
      <c r="P84" s="174">
        <f>+P79+P83</f>
        <v>18258429</v>
      </c>
      <c r="Q84" s="99"/>
      <c r="R84" s="174">
        <f>+R79+R83</f>
        <v>19891823</v>
      </c>
      <c r="S84" s="99"/>
      <c r="T84" s="174">
        <f>+T79+T83</f>
        <v>21528739</v>
      </c>
      <c r="U84" s="99"/>
      <c r="V84" s="174">
        <f>+V79+V83</f>
        <v>23170305</v>
      </c>
    </row>
    <row r="85" spans="1:22" ht="12.75" customHeight="1" x14ac:dyDescent="0.15">
      <c r="A85" s="14" t="s">
        <v>52</v>
      </c>
      <c r="B85" s="29">
        <f>+B74+B84</f>
        <v>1314654</v>
      </c>
      <c r="C85" s="28"/>
      <c r="D85" s="167">
        <f>+D74+D84</f>
        <v>2698067</v>
      </c>
      <c r="E85" s="35"/>
      <c r="F85" s="167">
        <f>+F74+F84</f>
        <v>7579936</v>
      </c>
      <c r="G85" s="35"/>
      <c r="H85" s="136">
        <f>+H74+H84</f>
        <v>10862609</v>
      </c>
      <c r="I85" s="35"/>
      <c r="J85" s="179">
        <f>+J74+J84</f>
        <v>9640106.0999999996</v>
      </c>
      <c r="K85" s="61"/>
      <c r="L85" s="179">
        <f>+L74+L84</f>
        <v>11597393.02</v>
      </c>
      <c r="M85" s="61"/>
      <c r="N85" s="179">
        <f>+N74+N84</f>
        <v>17510312</v>
      </c>
      <c r="O85" s="61"/>
      <c r="P85" s="174">
        <f>+P74+P84</f>
        <v>19741762</v>
      </c>
      <c r="Q85" s="99"/>
      <c r="R85" s="174">
        <f>+R74+R84</f>
        <v>21751823</v>
      </c>
      <c r="S85" s="99"/>
      <c r="T85" s="174">
        <f>+T74+T84</f>
        <v>23688739</v>
      </c>
      <c r="U85" s="99"/>
      <c r="V85" s="174">
        <f>+V74+V84</f>
        <v>25670305</v>
      </c>
    </row>
    <row r="86" spans="1:22" hidden="1" x14ac:dyDescent="0.15">
      <c r="A86" s="14"/>
      <c r="B86" s="29"/>
      <c r="C86" s="28"/>
      <c r="D86" s="167"/>
      <c r="E86" s="35"/>
      <c r="F86" s="167"/>
      <c r="G86" s="35"/>
      <c r="H86" s="136"/>
      <c r="I86" s="35"/>
      <c r="J86" s="179"/>
      <c r="K86" s="61"/>
      <c r="L86" s="179"/>
      <c r="M86" s="61"/>
      <c r="N86" s="179"/>
      <c r="O86" s="61"/>
      <c r="P86" s="174"/>
      <c r="Q86" s="99"/>
      <c r="R86" s="174"/>
      <c r="S86" s="99"/>
      <c r="T86" s="174"/>
      <c r="U86" s="99"/>
      <c r="V86" s="174"/>
    </row>
    <row r="87" spans="1:22" ht="12.75" hidden="1" customHeight="1" x14ac:dyDescent="0.15">
      <c r="A87" s="14" t="s">
        <v>53</v>
      </c>
      <c r="B87" s="30">
        <v>34555202.490000002</v>
      </c>
      <c r="C87" s="28"/>
      <c r="D87" s="169">
        <v>34555202.490000002</v>
      </c>
      <c r="E87" s="35"/>
      <c r="F87" s="169">
        <v>34555202.490000002</v>
      </c>
      <c r="G87" s="35"/>
      <c r="H87" s="136">
        <v>34555202.490000002</v>
      </c>
      <c r="I87" s="35"/>
      <c r="J87" s="179">
        <v>34555202.490000002</v>
      </c>
      <c r="K87" s="61"/>
      <c r="L87" s="179">
        <v>34555202.490000002</v>
      </c>
      <c r="M87" s="61"/>
      <c r="N87" s="179">
        <v>34555202.490000002</v>
      </c>
      <c r="O87" s="61"/>
      <c r="P87" s="174">
        <v>34555202.490000002</v>
      </c>
      <c r="Q87" s="99"/>
      <c r="R87" s="174">
        <v>34555202.490000002</v>
      </c>
      <c r="S87" s="99"/>
      <c r="T87" s="174">
        <v>34555202.490000002</v>
      </c>
      <c r="U87" s="99"/>
      <c r="V87" s="174">
        <v>34555202.490000002</v>
      </c>
    </row>
    <row r="88" spans="1:22" ht="12.75" hidden="1" customHeight="1" x14ac:dyDescent="0.15">
      <c r="A88" s="14" t="s">
        <v>54</v>
      </c>
      <c r="B88" s="34">
        <v>34555202.490000002</v>
      </c>
      <c r="C88" s="28"/>
      <c r="D88" s="172">
        <v>34555202.490000002</v>
      </c>
      <c r="E88" s="35"/>
      <c r="F88" s="172">
        <v>34555202.490000002</v>
      </c>
      <c r="G88" s="35"/>
      <c r="H88" s="136">
        <v>34555202.490000002</v>
      </c>
      <c r="I88" s="35"/>
      <c r="J88" s="179">
        <v>34555202.490000002</v>
      </c>
      <c r="K88" s="61"/>
      <c r="L88" s="179">
        <v>34555202.490000002</v>
      </c>
      <c r="M88" s="61"/>
      <c r="N88" s="179">
        <v>34555202.490000002</v>
      </c>
      <c r="O88" s="61"/>
      <c r="P88" s="174">
        <v>34555202.490000002</v>
      </c>
      <c r="Q88" s="99"/>
      <c r="R88" s="174">
        <v>34555202.490000002</v>
      </c>
      <c r="S88" s="99"/>
      <c r="T88" s="174">
        <v>34555202.490000002</v>
      </c>
      <c r="U88" s="99"/>
      <c r="V88" s="174">
        <v>34555202.490000002</v>
      </c>
    </row>
    <row r="89" spans="1:22" x14ac:dyDescent="0.15">
      <c r="A89" s="14" t="s">
        <v>55</v>
      </c>
      <c r="B89" s="34">
        <f>+B57-B85</f>
        <v>39374123</v>
      </c>
      <c r="C89" s="28"/>
      <c r="D89" s="172">
        <f>+D57-D85</f>
        <v>35661947</v>
      </c>
      <c r="E89" s="35"/>
      <c r="F89" s="172">
        <f>+F57-F85</f>
        <v>32548943</v>
      </c>
      <c r="G89" s="35"/>
      <c r="H89" s="136">
        <f>+H57-H85</f>
        <v>27799153</v>
      </c>
      <c r="I89" s="35"/>
      <c r="J89" s="179">
        <f>+J57-J85</f>
        <v>27847485.93999999</v>
      </c>
      <c r="K89" s="61"/>
      <c r="L89" s="179">
        <f>+L57-L85-0.51</f>
        <v>28172623.618999995</v>
      </c>
      <c r="M89" s="61"/>
      <c r="N89" s="179">
        <f>+N57-N85</f>
        <v>29770450.856893606</v>
      </c>
      <c r="O89" s="61"/>
      <c r="P89" s="174">
        <f>+P57-P85</f>
        <v>29783345.073749386</v>
      </c>
      <c r="Q89" s="99"/>
      <c r="R89" s="174">
        <f>+R57-R85</f>
        <v>29855523.447560415</v>
      </c>
      <c r="S89" s="99"/>
      <c r="T89" s="174">
        <f>+T57-T85</f>
        <v>30101074.163490422</v>
      </c>
      <c r="U89" s="99"/>
      <c r="V89" s="174">
        <f>+V57-V85</f>
        <v>30355782.343535803</v>
      </c>
    </row>
    <row r="90" spans="1:22" ht="11.25" thickBot="1" x14ac:dyDescent="0.2">
      <c r="A90" s="14" t="s">
        <v>56</v>
      </c>
      <c r="B90" s="32">
        <f>+B85+B89</f>
        <v>40688777</v>
      </c>
      <c r="C90" s="28"/>
      <c r="D90" s="170">
        <f>+D85+D89</f>
        <v>38360014</v>
      </c>
      <c r="E90" s="35"/>
      <c r="F90" s="170">
        <f>+F85+F89</f>
        <v>40128879</v>
      </c>
      <c r="G90" s="35"/>
      <c r="H90" s="137">
        <f>+H85+H89</f>
        <v>38661762</v>
      </c>
      <c r="I90" s="35"/>
      <c r="J90" s="180">
        <f>+J85+J89</f>
        <v>37487592.039999992</v>
      </c>
      <c r="K90" s="61"/>
      <c r="L90" s="180">
        <f>+L85+L89</f>
        <v>39770016.638999999</v>
      </c>
      <c r="M90" s="61"/>
      <c r="N90" s="180">
        <f>+N85+N89</f>
        <v>47280762.856893606</v>
      </c>
      <c r="O90" s="61"/>
      <c r="P90" s="266">
        <f>+P85+P89</f>
        <v>49525107.073749386</v>
      </c>
      <c r="Q90" s="99"/>
      <c r="R90" s="266">
        <f>+R85+R89</f>
        <v>51607346.447560415</v>
      </c>
      <c r="S90" s="99"/>
      <c r="T90" s="266">
        <f>+T85+T89</f>
        <v>53789813.163490422</v>
      </c>
      <c r="U90" s="99"/>
      <c r="V90" s="266">
        <f>+V85+V89</f>
        <v>56026087.343535803</v>
      </c>
    </row>
    <row r="91" spans="1:22" ht="11.25" thickTop="1" x14ac:dyDescent="0.15">
      <c r="A91" s="4"/>
      <c r="B91" s="28"/>
      <c r="C91" s="28"/>
      <c r="D91" s="28"/>
      <c r="E91" s="28"/>
      <c r="F91" s="28"/>
      <c r="G91" s="28"/>
      <c r="H91" s="28"/>
      <c r="I91" s="28"/>
      <c r="J91" s="122"/>
      <c r="K91" s="28"/>
      <c r="L91" s="122"/>
      <c r="M91" s="99"/>
      <c r="N91" s="122"/>
      <c r="O91" s="99"/>
      <c r="P91" s="122"/>
      <c r="Q91" s="135"/>
      <c r="R91" s="122"/>
      <c r="S91" s="135"/>
      <c r="T91" s="122"/>
      <c r="U91" s="135"/>
      <c r="V91" s="122"/>
    </row>
    <row r="92" spans="1:22" x14ac:dyDescent="0.15">
      <c r="A92" s="14" t="s">
        <v>200</v>
      </c>
      <c r="B92" s="156">
        <f>+(B71+B79)/B57</f>
        <v>0</v>
      </c>
      <c r="C92" s="28"/>
      <c r="D92" s="156">
        <f>+(D71+D79)/D57</f>
        <v>3.9103218262641924E-2</v>
      </c>
      <c r="E92" s="28"/>
      <c r="F92" s="156">
        <f>+(F71+F79)/F57</f>
        <v>0.16363390066291161</v>
      </c>
      <c r="G92" s="28"/>
      <c r="H92" s="156">
        <f>+(H71+H79)/H57</f>
        <v>0.25853270732979011</v>
      </c>
      <c r="I92" s="28"/>
      <c r="J92" s="156">
        <f>+(J71+J79)/J57</f>
        <v>0.22855543751270513</v>
      </c>
      <c r="K92" s="28"/>
      <c r="L92" s="156">
        <f>+(L71+L79)/L57</f>
        <v>0.24580633051715459</v>
      </c>
      <c r="M92" s="99"/>
      <c r="N92" s="156">
        <f>+(N71+N79)/N57</f>
        <v>0.3511863175781873</v>
      </c>
      <c r="O92" s="162"/>
      <c r="P92" s="156">
        <f>+(P71+P79)/P57</f>
        <v>0.38556817194891846</v>
      </c>
      <c r="Q92" s="163"/>
      <c r="R92" s="156">
        <f>+(R71+R79)/R57</f>
        <v>0.40924997028205856</v>
      </c>
      <c r="S92" s="163"/>
      <c r="T92" s="156">
        <f>+(T71+T79)/T57</f>
        <v>0.43029160427926089</v>
      </c>
      <c r="U92" s="163"/>
      <c r="V92" s="156">
        <f>+(V71+V79)/V57</f>
        <v>0.44926044622147093</v>
      </c>
    </row>
    <row r="93" spans="1:22" x14ac:dyDescent="0.15">
      <c r="A93" s="14" t="s">
        <v>201</v>
      </c>
      <c r="B93" s="156">
        <f>+(B71+B79)/B89</f>
        <v>0</v>
      </c>
      <c r="C93" s="28"/>
      <c r="D93" s="156">
        <f>+(D71+D79)/D89</f>
        <v>4.2061640661403034E-2</v>
      </c>
      <c r="E93" s="28"/>
      <c r="F93" s="156">
        <f>+(F71+F79)/F89</f>
        <v>0.20174065253055989</v>
      </c>
      <c r="G93" s="28"/>
      <c r="H93" s="156">
        <f>+(H71+H79)/H89</f>
        <v>0.35955519939762193</v>
      </c>
      <c r="I93" s="28"/>
      <c r="J93" s="156">
        <f>+(J71+J79)/J89</f>
        <v>0.30767563788201713</v>
      </c>
      <c r="K93" s="28"/>
      <c r="L93" s="156">
        <f>+(L71+L79)/L89</f>
        <v>0.34699366705084295</v>
      </c>
      <c r="M93" s="99"/>
      <c r="N93" s="156">
        <f>+(N71+N79)/N89</f>
        <v>0.55774623904142573</v>
      </c>
      <c r="O93" s="162"/>
      <c r="P93" s="156">
        <f>+(P71+P79)/P89</f>
        <v>0.64114037401495005</v>
      </c>
      <c r="Q93" s="163"/>
      <c r="R93" s="156">
        <f>+(R71+R79)/R89</f>
        <v>0.70741700567054722</v>
      </c>
      <c r="S93" s="163"/>
      <c r="T93" s="156">
        <f>+(T71+T79)/T89</f>
        <v>0.76891956992262189</v>
      </c>
      <c r="U93" s="163"/>
      <c r="V93" s="156">
        <f>+(V71+V79)/V89</f>
        <v>0.8291766199647943</v>
      </c>
    </row>
    <row r="94" spans="1:22" x14ac:dyDescent="0.15">
      <c r="A94" s="14" t="s">
        <v>281</v>
      </c>
      <c r="B94" s="156">
        <f>+B89/B90</f>
        <v>0.96769000945887362</v>
      </c>
      <c r="C94" s="35"/>
      <c r="D94" s="156">
        <f>+D89/D90</f>
        <v>0.92966459814117897</v>
      </c>
      <c r="E94" s="35"/>
      <c r="F94" s="156">
        <f>+F89/F90</f>
        <v>0.81111019821909303</v>
      </c>
      <c r="G94" s="35"/>
      <c r="H94" s="156">
        <f>+H89/H90</f>
        <v>0.71903481791647261</v>
      </c>
      <c r="I94" s="35"/>
      <c r="J94" s="156">
        <f>+J89/J90</f>
        <v>0.74284541696586381</v>
      </c>
      <c r="K94" s="35"/>
      <c r="L94" s="156">
        <f>+L89/L90</f>
        <v>0.70838852984971712</v>
      </c>
      <c r="M94" s="35"/>
      <c r="N94" s="156">
        <f>+N89/N90</f>
        <v>0.62965250681341389</v>
      </c>
      <c r="O94" s="35"/>
      <c r="P94" s="156">
        <f>+P89/P90</f>
        <v>0.60137871139577903</v>
      </c>
      <c r="Q94" s="35"/>
      <c r="R94" s="156">
        <f>+R89/R90</f>
        <v>0.57851305100325978</v>
      </c>
      <c r="S94" s="35"/>
      <c r="T94" s="156">
        <f>+T89/T90</f>
        <v>0.55960547905233071</v>
      </c>
      <c r="U94" s="35"/>
      <c r="V94" s="156">
        <f>+V89/V90</f>
        <v>0.54181513974736273</v>
      </c>
    </row>
    <row r="95" spans="1:22" x14ac:dyDescent="0.15">
      <c r="J95" s="26"/>
      <c r="L95" s="26"/>
      <c r="M95" s="12"/>
      <c r="N95" s="26"/>
      <c r="O95" s="12"/>
      <c r="P95" s="26"/>
      <c r="Q95" s="12"/>
      <c r="R95" s="26"/>
      <c r="S95" s="12"/>
      <c r="T95" s="26"/>
      <c r="U95" s="12"/>
      <c r="V95" s="26"/>
    </row>
    <row r="96" spans="1:22" hidden="1" x14ac:dyDescent="0.15">
      <c r="B96" s="267"/>
      <c r="D96" s="267">
        <f>+D89-B89</f>
        <v>-3712176</v>
      </c>
      <c r="F96" s="267">
        <f>+F89-D89</f>
        <v>-3113004</v>
      </c>
      <c r="H96" s="267">
        <f>+H89-F89</f>
        <v>-4749790</v>
      </c>
      <c r="J96" s="267">
        <f>+J89-H89</f>
        <v>48332.939999990165</v>
      </c>
      <c r="L96" s="267">
        <f>+L89-J89</f>
        <v>325137.67900000513</v>
      </c>
      <c r="N96" s="267">
        <f>+N89-L89</f>
        <v>1597827.2378936112</v>
      </c>
      <c r="P96" s="267">
        <f>+P89-N89</f>
        <v>12894.21685577929</v>
      </c>
      <c r="R96" s="267">
        <f>+R89-P89</f>
        <v>72178.373811028898</v>
      </c>
      <c r="T96" s="267">
        <f>+T89-R89</f>
        <v>245550.7159300074</v>
      </c>
      <c r="V96" s="267">
        <f>+V89-T89</f>
        <v>254708.18004538119</v>
      </c>
    </row>
    <row r="97" spans="1:22" hidden="1" x14ac:dyDescent="0.15">
      <c r="B97" s="267"/>
      <c r="D97" s="267">
        <f>+'Condensed IS'!D71+1</f>
        <v>-3712175.58</v>
      </c>
      <c r="F97" s="267">
        <f>+'Condensed IS'!F71</f>
        <v>-3113004</v>
      </c>
      <c r="H97" s="267">
        <f>+'Condensed IS'!H71</f>
        <v>-4699786.6100000003</v>
      </c>
      <c r="J97" s="267">
        <f>+'Condensed IS'!J71</f>
        <v>48332.939999999478</v>
      </c>
      <c r="L97" s="267">
        <f>+'Condensed IS'!L71</f>
        <v>325137.80759999901</v>
      </c>
      <c r="N97" s="267">
        <f>+'Condensed IS'!P71-0.5</f>
        <v>1597827.0235602795</v>
      </c>
      <c r="P97" s="267">
        <f>+'Condensed IS'!R71</f>
        <v>12894.550189111382</v>
      </c>
      <c r="R97" s="267">
        <f>+'Condensed IS'!T71</f>
        <v>72178.707144357264</v>
      </c>
      <c r="T97" s="267">
        <f>+'Condensed IS'!V71</f>
        <v>245551.04926333902</v>
      </c>
      <c r="V97" s="267">
        <f>+'Condensed IS'!X71</f>
        <v>254708.51337872352</v>
      </c>
    </row>
    <row r="98" spans="1:22" s="8" customFormat="1" hidden="1" x14ac:dyDescent="0.15">
      <c r="A98" s="279"/>
      <c r="B98" s="280"/>
      <c r="C98" s="106"/>
      <c r="D98" s="280">
        <f>+D96-D97</f>
        <v>-0.41999999992549419</v>
      </c>
      <c r="E98" s="106"/>
      <c r="F98" s="280">
        <f>+F96-F97</f>
        <v>0</v>
      </c>
      <c r="G98" s="106"/>
      <c r="H98" s="280">
        <f>+H96-H97</f>
        <v>-50003.389999999665</v>
      </c>
      <c r="I98" s="106"/>
      <c r="J98" s="280">
        <f>+J96-J97</f>
        <v>-9.3132257461547852E-9</v>
      </c>
      <c r="K98" s="106"/>
      <c r="L98" s="280">
        <f>+L96-L97</f>
        <v>-0.12859999388456345</v>
      </c>
      <c r="M98" s="281"/>
      <c r="N98" s="280">
        <f>+N96-N97</f>
        <v>0.21433333167806268</v>
      </c>
      <c r="O98" s="281"/>
      <c r="P98" s="280">
        <f>+P96-P97</f>
        <v>-0.3333333320915699</v>
      </c>
      <c r="Q98" s="281"/>
      <c r="R98" s="280">
        <f>+R96-R97</f>
        <v>-0.3333333283662796</v>
      </c>
      <c r="S98" s="281"/>
      <c r="T98" s="280">
        <f>+T96-T97</f>
        <v>-0.33333333162590861</v>
      </c>
      <c r="U98" s="281"/>
      <c r="V98" s="280">
        <f>+V96-V97</f>
        <v>-0.33333334233611822</v>
      </c>
    </row>
  </sheetData>
  <printOptions horizontalCentered="1"/>
  <pageMargins left="0.7" right="0.7" top="0.75" bottom="0.75" header="0.3" footer="0.3"/>
  <pageSetup scale="57" orientation="landscape" r:id="rId1"/>
  <ignoredErrors>
    <ignoredError sqref="B6 D6 F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abSelected="1" workbookViewId="0">
      <selection activeCell="K35" sqref="K35"/>
    </sheetView>
  </sheetViews>
  <sheetFormatPr defaultRowHeight="10.5" x14ac:dyDescent="0.15"/>
  <cols>
    <col min="1" max="1" width="9.33203125" style="8"/>
    <col min="2" max="2" width="13.6640625" style="8" bestFit="1" customWidth="1"/>
    <col min="3" max="3" width="9.33203125" style="8"/>
    <col min="4" max="4" width="13.6640625" style="8" bestFit="1" customWidth="1"/>
    <col min="5" max="5" width="9.33203125" style="8"/>
    <col min="6" max="6" width="13.6640625" style="8" bestFit="1" customWidth="1"/>
    <col min="7" max="7" width="9.33203125" style="8"/>
    <col min="8" max="8" width="13.6640625" style="8" bestFit="1" customWidth="1"/>
    <col min="9" max="9" width="9.33203125" style="8"/>
    <col min="10" max="10" width="13.6640625" style="8" bestFit="1" customWidth="1"/>
    <col min="11" max="11" width="9.33203125" style="8"/>
    <col min="12" max="12" width="13.6640625" style="8" bestFit="1" customWidth="1"/>
    <col min="13" max="16384" width="9.33203125" style="8"/>
  </cols>
  <sheetData>
    <row r="1" spans="1:23" ht="15.75" x14ac:dyDescent="0.25">
      <c r="A1" s="211" t="s">
        <v>145</v>
      </c>
    </row>
    <row r="2" spans="1:23" ht="12.75" x14ac:dyDescent="0.2">
      <c r="A2" s="212" t="s">
        <v>298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2.75" x14ac:dyDescent="0.2">
      <c r="A3" s="212" t="s">
        <v>299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3" ht="12.75" x14ac:dyDescent="0.2">
      <c r="A4" s="212" t="s">
        <v>300</v>
      </c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12.75" x14ac:dyDescent="0.2">
      <c r="A5" s="212" t="s">
        <v>229</v>
      </c>
      <c r="B5" s="212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1:23" ht="12.75" x14ac:dyDescent="0.2">
      <c r="A6" s="212"/>
      <c r="B6" s="212"/>
      <c r="C6" s="212"/>
      <c r="D6" s="212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ht="15.75" x14ac:dyDescent="0.25">
      <c r="A7" s="211" t="s">
        <v>180</v>
      </c>
      <c r="B7" s="212"/>
      <c r="C7" s="212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3" ht="12.75" x14ac:dyDescent="0.2">
      <c r="A8" s="212" t="s">
        <v>301</v>
      </c>
      <c r="B8" s="212"/>
      <c r="C8" s="212"/>
      <c r="D8" s="212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23" ht="11.25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ht="15.75" x14ac:dyDescent="0.25">
      <c r="A10" s="211" t="s">
        <v>146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ht="12.75" x14ac:dyDescent="0.2">
      <c r="A11" s="212" t="s">
        <v>302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13"/>
      <c r="P11" s="213"/>
      <c r="Q11" s="213"/>
      <c r="R11" s="213"/>
      <c r="S11" s="213"/>
      <c r="T11" s="213"/>
      <c r="U11" s="213"/>
      <c r="V11" s="213"/>
      <c r="W11" s="213"/>
    </row>
    <row r="12" spans="1:23" ht="12.75" x14ac:dyDescent="0.2">
      <c r="A12" s="212" t="s">
        <v>303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 ht="12.75" x14ac:dyDescent="0.2">
      <c r="A13" s="212" t="s">
        <v>304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4" spans="1:23" ht="12.75" x14ac:dyDescent="0.2">
      <c r="A14" s="212" t="s">
        <v>233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</row>
    <row r="15" spans="1:23" ht="12.75" x14ac:dyDescent="0.2">
      <c r="A15" s="212" t="s">
        <v>234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213"/>
      <c r="P15" s="213"/>
      <c r="Q15" s="213"/>
      <c r="R15" s="213"/>
      <c r="S15" s="213"/>
      <c r="T15" s="213"/>
      <c r="U15" s="213"/>
      <c r="V15" s="213"/>
      <c r="W15" s="213"/>
    </row>
    <row r="16" spans="1:23" ht="12.75" x14ac:dyDescent="0.2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/>
      <c r="O16" s="213"/>
      <c r="P16" s="213"/>
      <c r="Q16" s="213"/>
      <c r="R16" s="213"/>
      <c r="S16" s="213"/>
      <c r="T16" s="213"/>
      <c r="U16" s="213"/>
      <c r="V16" s="213"/>
      <c r="W16" s="213"/>
    </row>
    <row r="17" spans="1:23" ht="15.75" x14ac:dyDescent="0.25">
      <c r="A17" s="211" t="s">
        <v>140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13"/>
      <c r="P17" s="213"/>
      <c r="Q17" s="213"/>
      <c r="R17" s="213"/>
      <c r="S17" s="213"/>
      <c r="T17" s="213"/>
      <c r="U17" s="213"/>
      <c r="V17" s="213"/>
      <c r="W17" s="213"/>
    </row>
    <row r="18" spans="1:23" ht="12.75" x14ac:dyDescent="0.2">
      <c r="A18" s="212" t="s">
        <v>346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</row>
    <row r="19" spans="1:23" ht="12.75" x14ac:dyDescent="0.2">
      <c r="A19" s="212"/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213"/>
      <c r="P19" s="213"/>
      <c r="Q19" s="213"/>
      <c r="R19" s="213"/>
      <c r="S19" s="213"/>
      <c r="T19" s="213"/>
      <c r="U19" s="213"/>
      <c r="V19" s="213"/>
      <c r="W19" s="213"/>
    </row>
    <row r="20" spans="1:23" ht="12.75" x14ac:dyDescent="0.2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/>
      <c r="O20" s="213"/>
      <c r="P20" s="213"/>
      <c r="Q20" s="213"/>
      <c r="R20" s="213"/>
      <c r="S20" s="213"/>
      <c r="T20" s="213"/>
      <c r="U20" s="213"/>
      <c r="V20" s="213"/>
      <c r="W20" s="213"/>
    </row>
    <row r="21" spans="1:23" ht="15.75" x14ac:dyDescent="0.25">
      <c r="A21" s="211" t="s">
        <v>181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3"/>
      <c r="O21" s="213"/>
      <c r="P21" s="213"/>
      <c r="Q21" s="213"/>
      <c r="R21" s="213"/>
      <c r="S21" s="213"/>
      <c r="T21" s="213"/>
      <c r="U21" s="213"/>
      <c r="V21" s="213"/>
      <c r="W21" s="213"/>
    </row>
    <row r="22" spans="1:23" ht="12.75" x14ac:dyDescent="0.2">
      <c r="A22" s="212" t="s">
        <v>306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213"/>
      <c r="P22" s="213"/>
      <c r="Q22" s="213"/>
      <c r="R22" s="213"/>
      <c r="S22" s="213"/>
      <c r="T22" s="213"/>
      <c r="U22" s="213"/>
      <c r="V22" s="213"/>
      <c r="W22" s="213"/>
    </row>
    <row r="23" spans="1:23" ht="12.75" x14ac:dyDescent="0.2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  <c r="O23" s="213"/>
      <c r="P23" s="213"/>
      <c r="Q23" s="213"/>
      <c r="R23" s="213"/>
      <c r="S23" s="213"/>
      <c r="T23" s="213"/>
      <c r="U23" s="213"/>
      <c r="V23" s="213"/>
      <c r="W23" s="213"/>
    </row>
    <row r="24" spans="1:23" ht="15.75" x14ac:dyDescent="0.25">
      <c r="A24" s="211" t="s">
        <v>182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  <c r="O24" s="213"/>
      <c r="P24" s="213"/>
      <c r="Q24" s="213"/>
      <c r="R24" s="213"/>
      <c r="S24" s="213"/>
      <c r="T24" s="213"/>
      <c r="U24" s="213"/>
      <c r="V24" s="213"/>
      <c r="W24" s="213"/>
    </row>
    <row r="25" spans="1:23" ht="12.75" x14ac:dyDescent="0.2">
      <c r="A25" s="212" t="s">
        <v>344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3"/>
    </row>
    <row r="26" spans="1:23" ht="12.75" x14ac:dyDescent="0.2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213"/>
      <c r="P26" s="213"/>
      <c r="Q26" s="213"/>
      <c r="R26" s="213"/>
      <c r="S26" s="213"/>
      <c r="T26" s="213"/>
      <c r="U26" s="213"/>
      <c r="V26" s="213"/>
      <c r="W26" s="213"/>
    </row>
    <row r="27" spans="1:23" ht="12.75" x14ac:dyDescent="0.2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3"/>
      <c r="O27" s="213"/>
      <c r="P27" s="213"/>
      <c r="Q27" s="213"/>
      <c r="R27" s="213"/>
      <c r="S27" s="213"/>
      <c r="T27" s="213"/>
      <c r="U27" s="213"/>
      <c r="V27" s="213"/>
      <c r="W27" s="213"/>
    </row>
    <row r="28" spans="1:23" ht="15.75" x14ac:dyDescent="0.25">
      <c r="A28" s="211" t="s">
        <v>237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3"/>
      <c r="O28" s="213"/>
      <c r="P28" s="213"/>
      <c r="Q28" s="213"/>
      <c r="R28" s="213"/>
      <c r="S28" s="213"/>
      <c r="T28" s="213"/>
      <c r="U28" s="213"/>
      <c r="V28" s="213"/>
      <c r="W28" s="213"/>
    </row>
    <row r="29" spans="1:23" ht="12.75" x14ac:dyDescent="0.2">
      <c r="A29" s="212" t="s">
        <v>238</v>
      </c>
    </row>
    <row r="30" spans="1:23" ht="12.75" x14ac:dyDescent="0.2">
      <c r="A30" s="212" t="s">
        <v>206</v>
      </c>
    </row>
    <row r="31" spans="1:23" ht="12.75" x14ac:dyDescent="0.2">
      <c r="A31" s="212" t="s">
        <v>305</v>
      </c>
    </row>
    <row r="32" spans="1:23" ht="12.75" x14ac:dyDescent="0.2">
      <c r="A32" s="212"/>
    </row>
    <row r="33" spans="1:13" ht="12.75" x14ac:dyDescent="0.2">
      <c r="A33" s="212"/>
    </row>
    <row r="34" spans="1:13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x14ac:dyDescent="0.1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01"/>
    </row>
    <row r="43" spans="1:13" x14ac:dyDescent="0.1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01"/>
    </row>
    <row r="44" spans="1:13" x14ac:dyDescent="0.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91"/>
  <sheetViews>
    <sheetView topLeftCell="A34" zoomScale="120" zoomScaleNormal="120" workbookViewId="0"/>
  </sheetViews>
  <sheetFormatPr defaultRowHeight="10.5" x14ac:dyDescent="0.15"/>
  <cols>
    <col min="1" max="1" width="50.1640625" style="1" bestFit="1" customWidth="1"/>
    <col min="2" max="2" width="10.5" style="23" bestFit="1" customWidth="1"/>
    <col min="3" max="3" width="1.83203125" style="23" customWidth="1"/>
    <col min="4" max="4" width="11.33203125" style="23" bestFit="1" customWidth="1"/>
    <col min="5" max="5" width="1.83203125" style="23" customWidth="1"/>
    <col min="6" max="6" width="11.33203125" style="23" bestFit="1" customWidth="1"/>
    <col min="7" max="7" width="1.83203125" style="23" customWidth="1"/>
    <col min="8" max="8" width="11.33203125" style="23" bestFit="1" customWidth="1"/>
    <col min="9" max="9" width="1.83203125" style="23" customWidth="1"/>
    <col min="10" max="10" width="14.5" style="23" customWidth="1"/>
    <col min="11" max="11" width="1.83203125" style="23" customWidth="1"/>
    <col min="12" max="12" width="17.83203125" style="23" bestFit="1" customWidth="1"/>
    <col min="13" max="13" width="1.83203125" style="23" customWidth="1"/>
    <col min="14" max="14" width="17.83203125" style="23" bestFit="1" customWidth="1"/>
    <col min="15" max="15" width="1.83203125" style="23" customWidth="1"/>
    <col min="16" max="16" width="14.5" style="23" customWidth="1"/>
    <col min="17" max="17" width="1.83203125" style="23" customWidth="1"/>
    <col min="18" max="18" width="10.5" style="23" bestFit="1" customWidth="1"/>
    <col min="19" max="19" width="1.83203125" style="23" customWidth="1"/>
    <col min="20" max="20" width="10.5" style="23" bestFit="1" customWidth="1"/>
    <col min="21" max="21" width="1.83203125" style="23" customWidth="1"/>
    <col min="22" max="22" width="10.5" style="23" bestFit="1" customWidth="1"/>
    <col min="23" max="23" width="1.83203125" style="23" customWidth="1"/>
    <col min="24" max="24" width="10.5" style="23" bestFit="1" customWidth="1"/>
    <col min="25" max="16384" width="9.33203125" style="9"/>
  </cols>
  <sheetData>
    <row r="1" spans="1:26" ht="15" x14ac:dyDescent="0.2">
      <c r="A1" s="16" t="s">
        <v>307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6" ht="15" x14ac:dyDescent="0.2">
      <c r="A2" s="1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6" ht="15" x14ac:dyDescent="0.2">
      <c r="B3" s="118"/>
      <c r="C3" s="118"/>
      <c r="D3" s="118"/>
      <c r="E3" s="118"/>
      <c r="F3" s="118"/>
      <c r="G3" s="118"/>
      <c r="H3" s="118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6" ht="15" x14ac:dyDescent="0.2">
      <c r="B4" s="37" t="s">
        <v>113</v>
      </c>
      <c r="C4" s="38"/>
      <c r="D4" s="38"/>
      <c r="E4" s="38"/>
      <c r="F4" s="39"/>
      <c r="G4" s="38"/>
      <c r="H4" s="38"/>
      <c r="I4" s="38"/>
      <c r="J4" s="183"/>
      <c r="K4" s="40"/>
      <c r="L4" s="113" t="s">
        <v>113</v>
      </c>
      <c r="M4" s="40"/>
      <c r="N4" s="113" t="s">
        <v>147</v>
      </c>
      <c r="O4" s="40"/>
      <c r="P4" s="113" t="s">
        <v>209</v>
      </c>
      <c r="Q4" s="40"/>
      <c r="R4" s="41" t="s">
        <v>148</v>
      </c>
      <c r="S4" s="38"/>
      <c r="T4" s="41"/>
      <c r="U4" s="38"/>
      <c r="V4" s="41"/>
      <c r="W4" s="38"/>
      <c r="X4" s="41"/>
    </row>
    <row r="5" spans="1:26" ht="38.25" customHeight="1" x14ac:dyDescent="0.2">
      <c r="A5" s="6"/>
      <c r="B5" s="42" t="s">
        <v>114</v>
      </c>
      <c r="C5" s="119"/>
      <c r="D5" s="43" t="s">
        <v>91</v>
      </c>
      <c r="E5" s="119"/>
      <c r="F5" s="42" t="s">
        <v>90</v>
      </c>
      <c r="G5" s="119"/>
      <c r="H5" s="42" t="s">
        <v>115</v>
      </c>
      <c r="I5" s="119"/>
      <c r="J5" s="18">
        <v>2017</v>
      </c>
      <c r="K5" s="44"/>
      <c r="L5" s="18">
        <v>2018</v>
      </c>
      <c r="M5" s="44"/>
      <c r="N5" s="18">
        <v>2019</v>
      </c>
      <c r="O5" s="44"/>
      <c r="P5" s="18">
        <v>2019</v>
      </c>
      <c r="Q5" s="44"/>
      <c r="R5" s="18">
        <v>2020</v>
      </c>
      <c r="S5" s="5"/>
      <c r="T5" s="18">
        <v>2021</v>
      </c>
      <c r="U5" s="5"/>
      <c r="V5" s="18">
        <v>2022</v>
      </c>
      <c r="W5" s="5"/>
      <c r="X5" s="18">
        <v>2023</v>
      </c>
    </row>
    <row r="6" spans="1:26" x14ac:dyDescent="0.15">
      <c r="A6" s="6"/>
      <c r="B6" s="46"/>
      <c r="C6" s="47"/>
      <c r="D6" s="48"/>
      <c r="E6" s="47"/>
      <c r="F6" s="49"/>
      <c r="G6" s="47"/>
      <c r="H6" s="116"/>
      <c r="I6" s="47"/>
      <c r="J6" s="47"/>
      <c r="K6" s="50"/>
      <c r="L6" s="47"/>
      <c r="M6" s="50"/>
      <c r="N6" s="47"/>
      <c r="O6" s="50"/>
      <c r="P6" s="47"/>
      <c r="Q6" s="50"/>
      <c r="R6" s="47"/>
      <c r="S6" s="48"/>
      <c r="T6" s="47"/>
      <c r="U6" s="48"/>
      <c r="V6" s="47"/>
      <c r="W6" s="48"/>
      <c r="X6" s="47"/>
    </row>
    <row r="7" spans="1:26" ht="12.75" customHeight="1" x14ac:dyDescent="0.15">
      <c r="A7" s="13" t="s">
        <v>57</v>
      </c>
      <c r="B7" s="51"/>
      <c r="C7" s="52"/>
      <c r="D7" s="53"/>
      <c r="E7" s="52"/>
      <c r="F7" s="54"/>
      <c r="G7" s="52"/>
      <c r="H7" s="117"/>
      <c r="I7" s="52"/>
      <c r="J7" s="52"/>
      <c r="K7" s="55"/>
      <c r="L7" s="52"/>
      <c r="M7" s="55"/>
      <c r="N7" s="52"/>
      <c r="O7" s="55"/>
      <c r="P7" s="52"/>
      <c r="Q7" s="55"/>
      <c r="R7" s="52"/>
      <c r="S7" s="53"/>
      <c r="T7" s="52"/>
      <c r="U7" s="53"/>
      <c r="V7" s="52"/>
      <c r="W7" s="53"/>
      <c r="X7" s="52"/>
    </row>
    <row r="8" spans="1:26" ht="12.75" customHeight="1" x14ac:dyDescent="0.15">
      <c r="A8" s="13" t="s">
        <v>103</v>
      </c>
      <c r="B8" s="57">
        <v>2363017.2599999998</v>
      </c>
      <c r="C8" s="58"/>
      <c r="D8" s="59">
        <v>1171763.97</v>
      </c>
      <c r="E8" s="58"/>
      <c r="F8" s="60">
        <v>141055.27000000002</v>
      </c>
      <c r="G8" s="58"/>
      <c r="H8" s="67">
        <v>1173170</v>
      </c>
      <c r="I8" s="58"/>
      <c r="J8" s="83">
        <v>2285513</v>
      </c>
      <c r="K8" s="61"/>
      <c r="L8" s="58">
        <v>1913575</v>
      </c>
      <c r="M8" s="61"/>
      <c r="N8" s="83">
        <v>1100000</v>
      </c>
      <c r="O8" s="61"/>
      <c r="P8" s="83">
        <f>52703+420000+73500+35000+50000+1000000</f>
        <v>1631203</v>
      </c>
      <c r="Q8" s="61"/>
      <c r="R8" s="83">
        <f>50000+1000000+25000+25000</f>
        <v>1100000</v>
      </c>
      <c r="S8" s="84"/>
      <c r="T8" s="83">
        <f>50000+1000000+25000+25000</f>
        <v>1100000</v>
      </c>
      <c r="U8" s="84"/>
      <c r="V8" s="83">
        <f>50000+1000000+25000+25000</f>
        <v>1100000</v>
      </c>
      <c r="W8" s="84"/>
      <c r="X8" s="83">
        <f>50000+1000000+25000+25000</f>
        <v>1100000</v>
      </c>
    </row>
    <row r="9" spans="1:26" ht="12.75" customHeight="1" x14ac:dyDescent="0.15">
      <c r="A9" s="13" t="s">
        <v>58</v>
      </c>
      <c r="B9" s="57">
        <v>597500</v>
      </c>
      <c r="C9" s="58"/>
      <c r="D9" s="59">
        <v>872000</v>
      </c>
      <c r="E9" s="58"/>
      <c r="F9" s="60">
        <v>560000</v>
      </c>
      <c r="G9" s="58"/>
      <c r="H9" s="67">
        <v>0</v>
      </c>
      <c r="I9" s="58"/>
      <c r="J9" s="83">
        <f>-20056</f>
        <v>-20056</v>
      </c>
      <c r="K9" s="61"/>
      <c r="L9" s="58">
        <v>0</v>
      </c>
      <c r="M9" s="61"/>
      <c r="N9" s="58">
        <v>0</v>
      </c>
      <c r="O9" s="61"/>
      <c r="P9" s="58">
        <v>0</v>
      </c>
      <c r="Q9" s="61"/>
      <c r="R9" s="58">
        <v>0</v>
      </c>
      <c r="S9" s="59"/>
      <c r="T9" s="58">
        <v>0</v>
      </c>
      <c r="U9" s="59"/>
      <c r="V9" s="58">
        <v>0</v>
      </c>
      <c r="W9" s="59"/>
      <c r="X9" s="58">
        <v>0</v>
      </c>
    </row>
    <row r="10" spans="1:26" ht="12.75" customHeight="1" x14ac:dyDescent="0.15">
      <c r="A10" s="13" t="s">
        <v>59</v>
      </c>
      <c r="B10" s="57">
        <v>8530</v>
      </c>
      <c r="C10" s="58"/>
      <c r="D10" s="59">
        <v>55242.5</v>
      </c>
      <c r="E10" s="58"/>
      <c r="F10" s="60">
        <v>50</v>
      </c>
      <c r="G10" s="58"/>
      <c r="H10" s="67">
        <v>4815</v>
      </c>
      <c r="I10" s="58"/>
      <c r="J10" s="58">
        <v>2517</v>
      </c>
      <c r="K10" s="61"/>
      <c r="L10" s="58">
        <v>0</v>
      </c>
      <c r="M10" s="61"/>
      <c r="N10" s="58">
        <v>2000</v>
      </c>
      <c r="O10" s="61"/>
      <c r="P10" s="58">
        <v>0</v>
      </c>
      <c r="Q10" s="61"/>
      <c r="R10" s="58">
        <v>0</v>
      </c>
      <c r="S10" s="59"/>
      <c r="T10" s="58">
        <v>0</v>
      </c>
      <c r="U10" s="59"/>
      <c r="V10" s="58">
        <v>0</v>
      </c>
      <c r="W10" s="59"/>
      <c r="X10" s="58">
        <v>0</v>
      </c>
    </row>
    <row r="11" spans="1:26" ht="12.75" customHeight="1" x14ac:dyDescent="0.15">
      <c r="A11" s="13" t="s">
        <v>60</v>
      </c>
      <c r="B11" s="57"/>
      <c r="C11" s="58"/>
      <c r="D11" s="59"/>
      <c r="E11" s="58"/>
      <c r="F11" s="60"/>
      <c r="G11" s="58"/>
      <c r="H11" s="67"/>
      <c r="I11" s="58"/>
      <c r="J11" s="58"/>
      <c r="K11" s="61"/>
      <c r="L11" s="58"/>
      <c r="M11" s="61"/>
      <c r="N11" s="58"/>
      <c r="O11" s="61"/>
      <c r="P11" s="58"/>
      <c r="Q11" s="61"/>
      <c r="R11" s="58"/>
      <c r="S11" s="59"/>
      <c r="T11" s="58"/>
      <c r="U11" s="59"/>
      <c r="V11" s="58"/>
      <c r="W11" s="59"/>
      <c r="X11" s="58"/>
    </row>
    <row r="12" spans="1:26" ht="12.75" customHeight="1" x14ac:dyDescent="0.15">
      <c r="A12" s="13" t="s">
        <v>149</v>
      </c>
      <c r="B12" s="62">
        <v>94691.85</v>
      </c>
      <c r="C12" s="58"/>
      <c r="D12" s="28">
        <v>176749</v>
      </c>
      <c r="E12" s="58"/>
      <c r="F12" s="60">
        <v>220518.84</v>
      </c>
      <c r="G12" s="58"/>
      <c r="H12" s="67">
        <v>146436</v>
      </c>
      <c r="I12" s="58"/>
      <c r="J12" s="63">
        <f>119879+6000+6000+25500+16500+24434</f>
        <v>198313</v>
      </c>
      <c r="K12" s="61"/>
      <c r="L12" s="82">
        <f>1805+364405.09+35358.43+344.02</f>
        <v>401912.54000000004</v>
      </c>
      <c r="M12" s="61"/>
      <c r="N12" s="82">
        <v>325000</v>
      </c>
      <c r="O12" s="61"/>
      <c r="P12" s="82">
        <v>270000</v>
      </c>
      <c r="Q12" s="61"/>
      <c r="R12" s="63">
        <v>325000</v>
      </c>
      <c r="S12" s="59"/>
      <c r="T12" s="63">
        <v>325000</v>
      </c>
      <c r="U12" s="59"/>
      <c r="V12" s="63">
        <v>325000</v>
      </c>
      <c r="W12" s="59"/>
      <c r="X12" s="63">
        <v>325000</v>
      </c>
    </row>
    <row r="13" spans="1:26" s="20" customFormat="1" ht="12.75" customHeight="1" x14ac:dyDescent="0.15">
      <c r="A13" s="13" t="s">
        <v>150</v>
      </c>
      <c r="B13" s="62">
        <v>1476</v>
      </c>
      <c r="C13" s="58"/>
      <c r="D13" s="28">
        <v>14540.12</v>
      </c>
      <c r="E13" s="58"/>
      <c r="F13" s="75">
        <v>2531.84</v>
      </c>
      <c r="G13" s="58"/>
      <c r="H13" s="67">
        <v>23624</v>
      </c>
      <c r="I13" s="58"/>
      <c r="J13" s="63">
        <f>29869+1000+1000+744-54</f>
        <v>32559</v>
      </c>
      <c r="K13" s="61"/>
      <c r="L13" s="82">
        <f>10357.4+16799.78+2568.44</f>
        <v>29725.62</v>
      </c>
      <c r="M13" s="61"/>
      <c r="N13" s="82">
        <v>35000</v>
      </c>
      <c r="O13" s="61"/>
      <c r="P13" s="82">
        <v>30000</v>
      </c>
      <c r="Q13" s="61"/>
      <c r="R13" s="63">
        <v>35000</v>
      </c>
      <c r="S13" s="59"/>
      <c r="T13" s="63">
        <v>40000</v>
      </c>
      <c r="U13" s="59"/>
      <c r="V13" s="63">
        <v>40000</v>
      </c>
      <c r="W13" s="59"/>
      <c r="X13" s="63">
        <v>40000</v>
      </c>
    </row>
    <row r="14" spans="1:26" ht="12.75" customHeight="1" x14ac:dyDescent="0.15">
      <c r="A14" s="13" t="s">
        <v>151</v>
      </c>
      <c r="B14" s="62">
        <v>25524.940000000002</v>
      </c>
      <c r="C14" s="58"/>
      <c r="D14" s="28">
        <v>84856.17</v>
      </c>
      <c r="E14" s="58"/>
      <c r="F14" s="60">
        <v>386869.02</v>
      </c>
      <c r="G14" s="58"/>
      <c r="H14" s="67">
        <v>797114</v>
      </c>
      <c r="I14" s="58"/>
      <c r="J14" s="63">
        <f>748958+83000+83000-2555</f>
        <v>912403</v>
      </c>
      <c r="K14" s="61"/>
      <c r="L14" s="82">
        <f>+'Interest Bearing Assets'!E35</f>
        <v>950871.42759999994</v>
      </c>
      <c r="M14" s="61"/>
      <c r="N14" s="82">
        <v>927858.64749999996</v>
      </c>
      <c r="O14" s="61"/>
      <c r="P14" s="82">
        <f>+'Interest Bearing Assets'!G35</f>
        <v>1213866.6000000001</v>
      </c>
      <c r="Q14" s="61"/>
      <c r="R14" s="82">
        <f>+'Interest Bearing Assets'!I35</f>
        <v>1406282</v>
      </c>
      <c r="S14" s="59"/>
      <c r="T14" s="82">
        <f>+'Interest Bearing Assets'!K35</f>
        <v>1509059</v>
      </c>
      <c r="U14" s="84"/>
      <c r="V14" s="82">
        <f>+'Interest Bearing Assets'!M35</f>
        <v>1645101</v>
      </c>
      <c r="W14" s="84"/>
      <c r="X14" s="82">
        <f>+'Interest Bearing Assets'!O35</f>
        <v>1687838</v>
      </c>
      <c r="Y14" s="8"/>
      <c r="Z14" s="8"/>
    </row>
    <row r="15" spans="1:26" s="20" customFormat="1" ht="12.75" customHeight="1" x14ac:dyDescent="0.15">
      <c r="A15" s="13" t="s">
        <v>152</v>
      </c>
      <c r="B15" s="62">
        <v>16364.92</v>
      </c>
      <c r="C15" s="58"/>
      <c r="D15" s="28">
        <v>80510.7</v>
      </c>
      <c r="E15" s="58"/>
      <c r="F15" s="60">
        <v>130429.96999999999</v>
      </c>
      <c r="G15" s="58"/>
      <c r="H15" s="67">
        <v>124461</v>
      </c>
      <c r="I15" s="58"/>
      <c r="J15" s="63">
        <f>201219+25000+25000-1199-1240+1090</f>
        <v>249870</v>
      </c>
      <c r="K15" s="61"/>
      <c r="L15" s="82">
        <f>+'Interest Bearing Assets'!E51</f>
        <v>285992.09999999998</v>
      </c>
      <c r="M15" s="61"/>
      <c r="N15" s="82">
        <v>435160.79000000004</v>
      </c>
      <c r="O15" s="61"/>
      <c r="P15" s="82">
        <f>+'Interest Bearing Assets'!G51</f>
        <v>429600</v>
      </c>
      <c r="Q15" s="61"/>
      <c r="R15" s="82">
        <f>+'Interest Bearing Assets'!I51</f>
        <v>572425</v>
      </c>
      <c r="S15" s="133"/>
      <c r="T15" s="82">
        <f>+'Interest Bearing Assets'!K51</f>
        <v>679975</v>
      </c>
      <c r="U15" s="133"/>
      <c r="V15" s="82">
        <f>+'Interest Bearing Assets'!M51</f>
        <v>779025</v>
      </c>
      <c r="W15" s="133"/>
      <c r="X15" s="82">
        <f>+'Interest Bearing Assets'!O51</f>
        <v>878075</v>
      </c>
    </row>
    <row r="16" spans="1:26" s="20" customFormat="1" ht="12.75" customHeight="1" x14ac:dyDescent="0.15">
      <c r="A16" s="13" t="s">
        <v>179</v>
      </c>
      <c r="B16" s="62">
        <v>0</v>
      </c>
      <c r="C16" s="58"/>
      <c r="D16" s="28">
        <v>0</v>
      </c>
      <c r="E16" s="58"/>
      <c r="F16" s="60">
        <v>0</v>
      </c>
      <c r="G16" s="58"/>
      <c r="H16" s="67">
        <v>0</v>
      </c>
      <c r="I16" s="58"/>
      <c r="J16" s="63">
        <v>0</v>
      </c>
      <c r="K16" s="61"/>
      <c r="L16" s="63">
        <f>368229+8500+3777.78+5000</f>
        <v>385506.78</v>
      </c>
      <c r="M16" s="61"/>
      <c r="N16" s="82">
        <v>916458</v>
      </c>
      <c r="O16" s="61"/>
      <c r="P16" s="82">
        <f>+(15000000*0.005)+(10000+10000)+10000+525000+286458</f>
        <v>916458</v>
      </c>
      <c r="Q16" s="61"/>
      <c r="R16" s="63">
        <f>+(15000000*0.005)+(10000+10000)+10000</f>
        <v>105000</v>
      </c>
      <c r="S16" s="133"/>
      <c r="T16" s="63">
        <f>+(15000000*0.005)+(10000+10000)+10000</f>
        <v>105000</v>
      </c>
      <c r="U16" s="133"/>
      <c r="V16" s="63">
        <f>+(15000000*0.005)+(10000+10000)+10000</f>
        <v>105000</v>
      </c>
      <c r="W16" s="133"/>
      <c r="X16" s="63">
        <f>+(15000000*0.005)+(10000+10000)+10000</f>
        <v>105000</v>
      </c>
    </row>
    <row r="17" spans="1:25" ht="12.75" customHeight="1" x14ac:dyDescent="0.15">
      <c r="A17" s="13" t="s">
        <v>61</v>
      </c>
      <c r="B17" s="62">
        <v>7100</v>
      </c>
      <c r="C17" s="58"/>
      <c r="D17" s="28">
        <v>20371</v>
      </c>
      <c r="E17" s="58"/>
      <c r="F17" s="60">
        <v>34720.199999999997</v>
      </c>
      <c r="G17" s="58"/>
      <c r="H17" s="67">
        <v>28657</v>
      </c>
      <c r="I17" s="58"/>
      <c r="J17" s="63">
        <f>9709+800+800-118</f>
        <v>11191</v>
      </c>
      <c r="K17" s="61"/>
      <c r="L17" s="63">
        <v>9653</v>
      </c>
      <c r="M17" s="61"/>
      <c r="N17" s="82">
        <v>9600</v>
      </c>
      <c r="O17" s="61"/>
      <c r="P17" s="82">
        <f>800*12</f>
        <v>9600</v>
      </c>
      <c r="Q17" s="61"/>
      <c r="R17" s="63">
        <f>800*12</f>
        <v>9600</v>
      </c>
      <c r="S17" s="59"/>
      <c r="T17" s="63">
        <f>800*12</f>
        <v>9600</v>
      </c>
      <c r="U17" s="59"/>
      <c r="V17" s="63">
        <f>800*12</f>
        <v>9600</v>
      </c>
      <c r="W17" s="59"/>
      <c r="X17" s="63">
        <f>800*12</f>
        <v>9600</v>
      </c>
    </row>
    <row r="18" spans="1:25" ht="12.75" customHeight="1" x14ac:dyDescent="0.15">
      <c r="A18" s="13" t="s">
        <v>63</v>
      </c>
      <c r="B18" s="64">
        <v>500</v>
      </c>
      <c r="C18" s="58"/>
      <c r="D18" s="33">
        <v>99</v>
      </c>
      <c r="E18" s="58"/>
      <c r="F18" s="65">
        <v>246.17</v>
      </c>
      <c r="G18" s="58"/>
      <c r="H18" s="31">
        <v>369</v>
      </c>
      <c r="I18" s="58"/>
      <c r="J18" s="103">
        <f>350+3500000+2142</f>
        <v>3502492</v>
      </c>
      <c r="K18" s="61"/>
      <c r="L18" s="103">
        <v>451843.8</v>
      </c>
      <c r="M18" s="61"/>
      <c r="N18" s="103">
        <v>10000</v>
      </c>
      <c r="O18" s="61"/>
      <c r="P18" s="103">
        <v>90000</v>
      </c>
      <c r="Q18" s="61"/>
      <c r="R18" s="66">
        <v>15000</v>
      </c>
      <c r="S18" s="59"/>
      <c r="T18" s="66">
        <v>20000</v>
      </c>
      <c r="U18" s="59"/>
      <c r="V18" s="66">
        <v>25000</v>
      </c>
      <c r="W18" s="59"/>
      <c r="X18" s="66">
        <v>30000</v>
      </c>
    </row>
    <row r="19" spans="1:25" x14ac:dyDescent="0.15">
      <c r="A19" s="13" t="s">
        <v>64</v>
      </c>
      <c r="B19" s="57">
        <f>SUM(B12:B18)</f>
        <v>145657.71000000002</v>
      </c>
      <c r="C19" s="58"/>
      <c r="D19" s="67">
        <f>SUM(D12:D18)</f>
        <v>377125.99</v>
      </c>
      <c r="E19" s="58"/>
      <c r="F19" s="68">
        <f>SUM(F12:F18)</f>
        <v>775316.03999999992</v>
      </c>
      <c r="G19" s="58"/>
      <c r="H19" s="68">
        <f>SUM(H12:H18)</f>
        <v>1120661</v>
      </c>
      <c r="I19" s="58"/>
      <c r="J19" s="58">
        <f>SUM(J12:J18)</f>
        <v>4906828</v>
      </c>
      <c r="K19" s="61"/>
      <c r="L19" s="58">
        <f>SUM(L12:L18)</f>
        <v>2515505.2675999999</v>
      </c>
      <c r="M19" s="61"/>
      <c r="N19" s="58">
        <f>SUM(N12:N18)</f>
        <v>2659077.4375</v>
      </c>
      <c r="O19" s="61"/>
      <c r="P19" s="58">
        <f>SUM(P12:P18)</f>
        <v>2959524.6</v>
      </c>
      <c r="Q19" s="61"/>
      <c r="R19" s="58">
        <f>SUM(R12:R18)</f>
        <v>2468307</v>
      </c>
      <c r="S19" s="59"/>
      <c r="T19" s="58">
        <f>SUM(T12:T18)</f>
        <v>2688634</v>
      </c>
      <c r="U19" s="59"/>
      <c r="V19" s="58">
        <f>SUM(V12:V18)</f>
        <v>2928726</v>
      </c>
      <c r="W19" s="59"/>
      <c r="X19" s="58">
        <f>SUM(X12:X18)</f>
        <v>3075513</v>
      </c>
    </row>
    <row r="20" spans="1:25" ht="12.75" customHeight="1" x14ac:dyDescent="0.15">
      <c r="A20" s="13" t="s">
        <v>104</v>
      </c>
      <c r="B20" s="57"/>
      <c r="C20" s="58"/>
      <c r="D20" s="59"/>
      <c r="E20" s="58"/>
      <c r="F20" s="60"/>
      <c r="G20" s="58"/>
      <c r="H20" s="67"/>
      <c r="I20" s="58"/>
      <c r="J20" s="58"/>
      <c r="K20" s="61"/>
      <c r="L20" s="58"/>
      <c r="M20" s="61"/>
      <c r="N20" s="58"/>
      <c r="O20" s="61"/>
      <c r="P20" s="58"/>
      <c r="Q20" s="61"/>
      <c r="R20" s="58"/>
      <c r="S20" s="59"/>
      <c r="T20" s="58"/>
      <c r="U20" s="59"/>
      <c r="V20" s="58"/>
      <c r="W20" s="59"/>
      <c r="X20" s="58"/>
    </row>
    <row r="21" spans="1:25" ht="12.75" customHeight="1" x14ac:dyDescent="0.15">
      <c r="A21" s="146" t="s">
        <v>291</v>
      </c>
      <c r="B21" s="57">
        <v>729982</v>
      </c>
      <c r="C21" s="58"/>
      <c r="D21" s="59">
        <v>694369.66</v>
      </c>
      <c r="E21" s="58"/>
      <c r="F21" s="60">
        <v>651420.21</v>
      </c>
      <c r="G21" s="58"/>
      <c r="H21" s="67">
        <v>549385</v>
      </c>
      <c r="I21" s="58"/>
      <c r="J21" s="58">
        <v>0</v>
      </c>
      <c r="K21" s="61"/>
      <c r="L21" s="58">
        <v>0</v>
      </c>
      <c r="M21" s="61"/>
      <c r="N21" s="58">
        <v>0</v>
      </c>
      <c r="O21" s="61"/>
      <c r="P21" s="58">
        <v>0</v>
      </c>
      <c r="Q21" s="61"/>
      <c r="R21" s="83">
        <v>0</v>
      </c>
      <c r="S21" s="84"/>
      <c r="T21" s="83">
        <v>0</v>
      </c>
      <c r="U21" s="84"/>
      <c r="V21" s="83">
        <v>0</v>
      </c>
      <c r="W21" s="84"/>
      <c r="X21" s="83">
        <v>0</v>
      </c>
    </row>
    <row r="22" spans="1:25" ht="12.75" customHeight="1" x14ac:dyDescent="0.15">
      <c r="A22" s="146" t="s">
        <v>212</v>
      </c>
      <c r="B22" s="57">
        <v>22396</v>
      </c>
      <c r="C22" s="58"/>
      <c r="D22" s="59">
        <v>16863.84</v>
      </c>
      <c r="E22" s="58"/>
      <c r="F22" s="60">
        <v>7461</v>
      </c>
      <c r="G22" s="58"/>
      <c r="H22" s="67">
        <v>13355</v>
      </c>
      <c r="I22" s="58"/>
      <c r="J22" s="83">
        <f>55586+3107+3439</f>
        <v>62132</v>
      </c>
      <c r="K22" s="61"/>
      <c r="L22" s="58">
        <v>83258.460000000006</v>
      </c>
      <c r="M22" s="61"/>
      <c r="N22" s="83">
        <v>88266</v>
      </c>
      <c r="O22" s="61"/>
      <c r="P22" s="83">
        <v>90000</v>
      </c>
      <c r="Q22" s="61"/>
      <c r="R22" s="83">
        <v>108475</v>
      </c>
      <c r="S22" s="59"/>
      <c r="T22" s="83">
        <v>97267</v>
      </c>
      <c r="U22" s="59"/>
      <c r="V22" s="83">
        <v>82796</v>
      </c>
      <c r="W22" s="84"/>
      <c r="X22" s="83">
        <v>73505</v>
      </c>
      <c r="Y22" s="9" t="s">
        <v>279</v>
      </c>
    </row>
    <row r="23" spans="1:25" s="20" customFormat="1" ht="12.75" customHeight="1" x14ac:dyDescent="0.15">
      <c r="A23" s="146" t="s">
        <v>292</v>
      </c>
      <c r="B23" s="57">
        <v>1591094</v>
      </c>
      <c r="C23" s="58"/>
      <c r="D23" s="59">
        <v>-258088</v>
      </c>
      <c r="E23" s="58"/>
      <c r="F23" s="60">
        <v>-116305.22</v>
      </c>
      <c r="G23" s="58"/>
      <c r="H23" s="67">
        <v>-129106</v>
      </c>
      <c r="I23" s="58"/>
      <c r="J23" s="58">
        <v>-137738.26999999999</v>
      </c>
      <c r="K23" s="61"/>
      <c r="L23" s="58">
        <v>-101355.31</v>
      </c>
      <c r="M23" s="61"/>
      <c r="N23" s="58">
        <v>-80860</v>
      </c>
      <c r="O23" s="61"/>
      <c r="P23" s="58">
        <v>-80860</v>
      </c>
      <c r="Q23" s="61"/>
      <c r="R23" s="58">
        <v>-80860</v>
      </c>
      <c r="S23" s="59"/>
      <c r="T23" s="58">
        <f>+R23</f>
        <v>-80860</v>
      </c>
      <c r="U23" s="59"/>
      <c r="V23" s="58">
        <f>+T23</f>
        <v>-80860</v>
      </c>
      <c r="W23" s="59"/>
      <c r="X23" s="58">
        <f>+V23</f>
        <v>-80860</v>
      </c>
    </row>
    <row r="24" spans="1:25" s="20" customFormat="1" ht="12.75" customHeight="1" x14ac:dyDescent="0.15">
      <c r="A24" s="146" t="s">
        <v>293</v>
      </c>
      <c r="B24" s="57">
        <v>0</v>
      </c>
      <c r="C24" s="58"/>
      <c r="D24" s="59">
        <v>0</v>
      </c>
      <c r="E24" s="58"/>
      <c r="F24" s="60">
        <v>100</v>
      </c>
      <c r="G24" s="58"/>
      <c r="H24" s="67">
        <v>3800</v>
      </c>
      <c r="I24" s="58"/>
      <c r="J24" s="58">
        <f>4400+1800</f>
        <v>6200</v>
      </c>
      <c r="K24" s="61"/>
      <c r="L24" s="58">
        <f>2600+900+900+100</f>
        <v>4500</v>
      </c>
      <c r="M24" s="61"/>
      <c r="N24" s="58">
        <v>400</v>
      </c>
      <c r="O24" s="61"/>
      <c r="P24" s="58">
        <v>4000</v>
      </c>
      <c r="Q24" s="61"/>
      <c r="R24" s="58">
        <v>4000</v>
      </c>
      <c r="S24" s="59"/>
      <c r="T24" s="58">
        <v>4000</v>
      </c>
      <c r="U24" s="59"/>
      <c r="V24" s="58">
        <v>4000</v>
      </c>
      <c r="W24" s="59"/>
      <c r="X24" s="58">
        <v>4000</v>
      </c>
    </row>
    <row r="25" spans="1:25" s="20" customFormat="1" ht="12.75" customHeight="1" x14ac:dyDescent="0.15">
      <c r="A25" s="146" t="s">
        <v>184</v>
      </c>
      <c r="B25" s="57">
        <v>0</v>
      </c>
      <c r="C25" s="58"/>
      <c r="D25" s="59">
        <v>0</v>
      </c>
      <c r="E25" s="58"/>
      <c r="F25" s="60">
        <v>84001</v>
      </c>
      <c r="G25" s="58"/>
      <c r="H25" s="67">
        <v>93753</v>
      </c>
      <c r="I25" s="58"/>
      <c r="J25" s="58">
        <f>69385</f>
        <v>69385</v>
      </c>
      <c r="K25" s="61"/>
      <c r="L25" s="58">
        <v>154432.73000000001</v>
      </c>
      <c r="M25" s="61"/>
      <c r="N25" s="58">
        <v>50000</v>
      </c>
      <c r="O25" s="61"/>
      <c r="P25" s="58">
        <v>275000</v>
      </c>
      <c r="Q25" s="61"/>
      <c r="R25" s="58">
        <v>50000</v>
      </c>
      <c r="S25" s="59"/>
      <c r="T25" s="58">
        <v>50000</v>
      </c>
      <c r="U25" s="59"/>
      <c r="V25" s="58">
        <v>50000</v>
      </c>
      <c r="W25" s="59"/>
      <c r="X25" s="58">
        <v>50000</v>
      </c>
    </row>
    <row r="26" spans="1:25" s="20" customFormat="1" ht="12.75" customHeight="1" x14ac:dyDescent="0.15">
      <c r="A26" s="146" t="s">
        <v>185</v>
      </c>
      <c r="B26" s="57">
        <v>0</v>
      </c>
      <c r="C26" s="58"/>
      <c r="D26" s="59">
        <v>0</v>
      </c>
      <c r="E26" s="58"/>
      <c r="F26" s="60">
        <v>0</v>
      </c>
      <c r="G26" s="58"/>
      <c r="H26" s="67">
        <v>-2071971</v>
      </c>
      <c r="I26" s="58"/>
      <c r="J26" s="58">
        <v>0</v>
      </c>
      <c r="K26" s="61"/>
      <c r="L26" s="58">
        <v>0</v>
      </c>
      <c r="M26" s="61"/>
      <c r="N26" s="58">
        <v>0</v>
      </c>
      <c r="O26" s="61"/>
      <c r="P26" s="58">
        <v>0</v>
      </c>
      <c r="Q26" s="61"/>
      <c r="R26" s="58">
        <v>0</v>
      </c>
      <c r="S26" s="59"/>
      <c r="T26" s="58">
        <v>0</v>
      </c>
      <c r="U26" s="59"/>
      <c r="V26" s="58">
        <v>0</v>
      </c>
      <c r="W26" s="59"/>
      <c r="X26" s="58">
        <v>0</v>
      </c>
    </row>
    <row r="27" spans="1:25" s="20" customFormat="1" ht="12.75" customHeight="1" x14ac:dyDescent="0.15">
      <c r="A27" s="146" t="s">
        <v>186</v>
      </c>
      <c r="B27" s="57">
        <v>0</v>
      </c>
      <c r="C27" s="58"/>
      <c r="D27" s="59">
        <v>0</v>
      </c>
      <c r="E27" s="58"/>
      <c r="F27" s="60">
        <v>-136549</v>
      </c>
      <c r="G27" s="58"/>
      <c r="H27" s="67">
        <v>-12996</v>
      </c>
      <c r="I27" s="58"/>
      <c r="J27" s="58">
        <v>-34354</v>
      </c>
      <c r="K27" s="61"/>
      <c r="L27" s="83">
        <v>0</v>
      </c>
      <c r="M27" s="61"/>
      <c r="N27" s="58">
        <v>-50000</v>
      </c>
      <c r="O27" s="61"/>
      <c r="P27" s="58">
        <v>0</v>
      </c>
      <c r="Q27" s="61"/>
      <c r="R27" s="58">
        <v>0</v>
      </c>
      <c r="S27" s="59"/>
      <c r="T27" s="58">
        <v>0</v>
      </c>
      <c r="U27" s="59"/>
      <c r="V27" s="58">
        <v>0</v>
      </c>
      <c r="W27" s="59"/>
      <c r="X27" s="58">
        <v>0</v>
      </c>
    </row>
    <row r="28" spans="1:25" s="20" customFormat="1" ht="12.75" customHeight="1" x14ac:dyDescent="0.15">
      <c r="A28" s="146" t="s">
        <v>295</v>
      </c>
      <c r="B28" s="57">
        <v>0</v>
      </c>
      <c r="C28" s="58"/>
      <c r="D28" s="59">
        <v>0</v>
      </c>
      <c r="E28" s="58"/>
      <c r="F28" s="60">
        <v>0</v>
      </c>
      <c r="G28" s="58"/>
      <c r="H28" s="67">
        <v>0</v>
      </c>
      <c r="I28" s="58"/>
      <c r="J28" s="58">
        <v>0</v>
      </c>
      <c r="K28" s="61"/>
      <c r="L28" s="83">
        <v>0</v>
      </c>
      <c r="M28" s="61"/>
      <c r="N28" s="58">
        <v>0</v>
      </c>
      <c r="O28" s="61"/>
      <c r="P28" s="58">
        <v>0</v>
      </c>
      <c r="Q28" s="61"/>
      <c r="R28" s="58">
        <f>((200*11)*12)+(300*12)</f>
        <v>30000</v>
      </c>
      <c r="S28" s="59"/>
      <c r="T28" s="58">
        <f>((400*11)*12)+(300*12)</f>
        <v>56400</v>
      </c>
      <c r="U28" s="59"/>
      <c r="V28" s="58">
        <f>((400*11)*12)+(300*12)</f>
        <v>56400</v>
      </c>
      <c r="W28" s="59"/>
      <c r="X28" s="58">
        <f>((400*11)*12)+(300*12)</f>
        <v>56400</v>
      </c>
    </row>
    <row r="29" spans="1:25" s="20" customFormat="1" ht="12.75" customHeight="1" x14ac:dyDescent="0.15">
      <c r="A29" s="146" t="s">
        <v>187</v>
      </c>
      <c r="B29" s="57">
        <v>0</v>
      </c>
      <c r="C29" s="58"/>
      <c r="D29" s="59">
        <v>0</v>
      </c>
      <c r="E29" s="58"/>
      <c r="F29" s="60">
        <v>0</v>
      </c>
      <c r="G29" s="58"/>
      <c r="H29" s="67">
        <v>39365</v>
      </c>
      <c r="I29" s="58"/>
      <c r="J29" s="58">
        <f>39080+3534+3534-20</f>
        <v>46128</v>
      </c>
      <c r="K29" s="61"/>
      <c r="L29" s="83">
        <v>42455.63</v>
      </c>
      <c r="M29" s="61"/>
      <c r="N29" s="58">
        <v>43000</v>
      </c>
      <c r="O29" s="61"/>
      <c r="P29" s="58">
        <v>43000</v>
      </c>
      <c r="Q29" s="61"/>
      <c r="R29" s="58">
        <v>43000</v>
      </c>
      <c r="S29" s="59"/>
      <c r="T29" s="58">
        <v>43000</v>
      </c>
      <c r="U29" s="59"/>
      <c r="V29" s="58">
        <v>43000</v>
      </c>
      <c r="W29" s="59"/>
      <c r="X29" s="58">
        <v>43000</v>
      </c>
    </row>
    <row r="30" spans="1:25" ht="12.75" customHeight="1" x14ac:dyDescent="0.15">
      <c r="A30" s="146" t="s">
        <v>294</v>
      </c>
      <c r="B30" s="69">
        <v>0</v>
      </c>
      <c r="C30" s="58"/>
      <c r="D30" s="70">
        <v>78495</v>
      </c>
      <c r="E30" s="58"/>
      <c r="F30" s="71">
        <v>-38718</v>
      </c>
      <c r="G30" s="58"/>
      <c r="H30" s="69">
        <v>28250</v>
      </c>
      <c r="I30" s="58"/>
      <c r="J30" s="72">
        <v>0</v>
      </c>
      <c r="K30" s="61"/>
      <c r="L30" s="72">
        <v>0</v>
      </c>
      <c r="M30" s="61"/>
      <c r="N30" s="102">
        <v>65000</v>
      </c>
      <c r="O30" s="61"/>
      <c r="P30" s="102">
        <v>0</v>
      </c>
      <c r="Q30" s="61"/>
      <c r="R30" s="102">
        <f>('Condensed BS'!P33+'Condensed BS'!P34)*4%</f>
        <v>40000</v>
      </c>
      <c r="S30" s="84"/>
      <c r="T30" s="102">
        <f>('Condensed BS'!R33+'Condensed BS'!R34)*4%</f>
        <v>40000</v>
      </c>
      <c r="U30" s="84"/>
      <c r="V30" s="102">
        <f>('Condensed BS'!T33+'Condensed BS'!T34)*4%</f>
        <v>80000</v>
      </c>
      <c r="W30" s="84"/>
      <c r="X30" s="102">
        <f>('Condensed BS'!V33+'Condensed BS'!V34)*4%</f>
        <v>120000</v>
      </c>
    </row>
    <row r="31" spans="1:25" ht="12.75" customHeight="1" x14ac:dyDescent="0.15">
      <c r="A31" s="13" t="s">
        <v>105</v>
      </c>
      <c r="B31" s="73">
        <f>SUM(B21:B30)</f>
        <v>2343472</v>
      </c>
      <c r="C31" s="58"/>
      <c r="D31" s="70">
        <f>SUM(D21:D30)</f>
        <v>531640.5</v>
      </c>
      <c r="E31" s="58"/>
      <c r="F31" s="71">
        <f>SUM(F21:F30)</f>
        <v>451409.99</v>
      </c>
      <c r="G31" s="58"/>
      <c r="H31" s="71">
        <f>SUM(H21:H30)</f>
        <v>-1486165</v>
      </c>
      <c r="I31" s="58"/>
      <c r="J31" s="74">
        <f>SUM(J21:J30)</f>
        <v>11752.73000000001</v>
      </c>
      <c r="K31" s="61"/>
      <c r="L31" s="74">
        <f>SUM(L21:L30)</f>
        <v>183291.51</v>
      </c>
      <c r="M31" s="61"/>
      <c r="N31" s="74">
        <f>SUM(N21:N30)</f>
        <v>115806</v>
      </c>
      <c r="O31" s="61"/>
      <c r="P31" s="74">
        <f>SUM(P21:P30)</f>
        <v>331140</v>
      </c>
      <c r="Q31" s="61"/>
      <c r="R31" s="74">
        <f>SUM(R21:R30)</f>
        <v>194615</v>
      </c>
      <c r="S31" s="59"/>
      <c r="T31" s="74">
        <f>SUM(T21:T30)</f>
        <v>209807</v>
      </c>
      <c r="U31" s="59"/>
      <c r="V31" s="74">
        <f>SUM(V21:V30)</f>
        <v>235336</v>
      </c>
      <c r="W31" s="59"/>
      <c r="X31" s="74">
        <f>SUM(X21:X30)</f>
        <v>266045</v>
      </c>
    </row>
    <row r="32" spans="1:25" ht="12.75" customHeight="1" x14ac:dyDescent="0.15">
      <c r="A32" s="13" t="s">
        <v>65</v>
      </c>
      <c r="B32" s="57">
        <f>+B8+B9+B10+B19+B31</f>
        <v>5458176.9699999997</v>
      </c>
      <c r="C32" s="58"/>
      <c r="D32" s="67">
        <f>+D8+D9+D10+D19+D31</f>
        <v>3007772.96</v>
      </c>
      <c r="E32" s="58"/>
      <c r="F32" s="68">
        <f>+F8+F9+F10+F19+F31</f>
        <v>1927831.3</v>
      </c>
      <c r="G32" s="58"/>
      <c r="H32" s="68">
        <f>+H8+H9+H10+H19+H31</f>
        <v>812481</v>
      </c>
      <c r="I32" s="58"/>
      <c r="J32" s="58">
        <f>+J8+J9+J10+J19+J31-0.32</f>
        <v>7186554.4100000001</v>
      </c>
      <c r="K32" s="61"/>
      <c r="L32" s="58">
        <f>+L8+L9+L10+L19+L31-0.32</f>
        <v>4612371.4575999994</v>
      </c>
      <c r="M32" s="61"/>
      <c r="N32" s="58">
        <f>+N8+N9+N10+N19+N31-0.32</f>
        <v>3876883.1175000002</v>
      </c>
      <c r="O32" s="61"/>
      <c r="P32" s="58">
        <f>+P8+P9+P10+P19+P31</f>
        <v>4921867.5999999996</v>
      </c>
      <c r="Q32" s="61"/>
      <c r="R32" s="58">
        <f>+R8+R9+R10+R19+R31</f>
        <v>3762922</v>
      </c>
      <c r="S32" s="59"/>
      <c r="T32" s="58">
        <f>+T8+T9+T10+T19+T31</f>
        <v>3998441</v>
      </c>
      <c r="U32" s="59"/>
      <c r="V32" s="58">
        <f>+V8+V9+V10+V19+V31</f>
        <v>4264062</v>
      </c>
      <c r="W32" s="59"/>
      <c r="X32" s="58">
        <f>+X8+X9+X10+X19+X31</f>
        <v>4441558</v>
      </c>
    </row>
    <row r="33" spans="1:30" x14ac:dyDescent="0.15">
      <c r="A33" s="13"/>
      <c r="B33" s="57"/>
      <c r="C33" s="58"/>
      <c r="D33" s="59"/>
      <c r="E33" s="58"/>
      <c r="F33" s="60"/>
      <c r="G33" s="58"/>
      <c r="H33" s="67"/>
      <c r="I33" s="58"/>
      <c r="J33" s="58"/>
      <c r="K33" s="61"/>
      <c r="L33" s="58"/>
      <c r="M33" s="61"/>
      <c r="N33" s="58"/>
      <c r="O33" s="61"/>
      <c r="P33" s="58"/>
      <c r="Q33" s="61"/>
      <c r="R33" s="58"/>
      <c r="S33" s="59"/>
      <c r="T33" s="58"/>
      <c r="U33" s="59"/>
      <c r="V33" s="58"/>
      <c r="W33" s="59"/>
      <c r="X33" s="58"/>
    </row>
    <row r="34" spans="1:30" ht="12.75" customHeight="1" x14ac:dyDescent="0.15">
      <c r="A34" s="13" t="s">
        <v>66</v>
      </c>
      <c r="B34" s="57"/>
      <c r="C34" s="58"/>
      <c r="D34" s="59"/>
      <c r="E34" s="58"/>
      <c r="F34" s="60"/>
      <c r="G34" s="58"/>
      <c r="H34" s="67"/>
      <c r="I34" s="58"/>
      <c r="J34" s="58"/>
      <c r="K34" s="61"/>
      <c r="L34" s="58"/>
      <c r="M34" s="61"/>
      <c r="N34" s="58"/>
      <c r="O34" s="61"/>
      <c r="P34" s="58"/>
      <c r="Q34" s="61"/>
      <c r="R34" s="58"/>
      <c r="S34" s="59"/>
      <c r="T34" s="58"/>
      <c r="U34" s="59"/>
      <c r="V34" s="58"/>
      <c r="W34" s="59"/>
      <c r="X34" s="58"/>
    </row>
    <row r="35" spans="1:30" ht="12.75" customHeight="1" x14ac:dyDescent="0.15">
      <c r="A35" s="13" t="s">
        <v>67</v>
      </c>
      <c r="B35" s="57">
        <v>941280</v>
      </c>
      <c r="C35" s="58"/>
      <c r="D35" s="59">
        <v>952053</v>
      </c>
      <c r="E35" s="58"/>
      <c r="F35" s="60">
        <v>1120520.3700000001</v>
      </c>
      <c r="G35" s="58"/>
      <c r="H35" s="67">
        <v>1236614</v>
      </c>
      <c r="I35" s="58"/>
      <c r="J35" s="83">
        <f>1127264+122309+122572+38150-45000+5798-18744</f>
        <v>1352349</v>
      </c>
      <c r="K35" s="61"/>
      <c r="L35" s="83">
        <v>1661393.21</v>
      </c>
      <c r="M35" s="61"/>
      <c r="N35" s="83">
        <v>1695000.2402499998</v>
      </c>
      <c r="O35" s="61"/>
      <c r="P35" s="83">
        <v>1770000</v>
      </c>
      <c r="Q35" s="61"/>
      <c r="R35" s="83">
        <f>((+P35-138200-30000)*1.025)+138200+30000</f>
        <v>1810044.9999999998</v>
      </c>
      <c r="S35" s="59"/>
      <c r="T35" s="83">
        <f>((+R35-138200-30000)*1.03)+138200+30000</f>
        <v>1859300.3499999999</v>
      </c>
      <c r="U35" s="84"/>
      <c r="V35" s="83">
        <f>((+T35-138200-30000)*1.03)+138200+30000</f>
        <v>1910033.3605</v>
      </c>
      <c r="W35" s="84"/>
      <c r="X35" s="83">
        <f>((+V35-138200-30000)*1.03)+138200+30000</f>
        <v>1962288.3613150001</v>
      </c>
      <c r="Y35" s="20"/>
      <c r="Z35" s="20"/>
      <c r="AA35" s="20"/>
      <c r="AB35" s="20"/>
      <c r="AC35" s="20"/>
      <c r="AD35" s="20"/>
    </row>
    <row r="36" spans="1:30" ht="12.75" customHeight="1" x14ac:dyDescent="0.15">
      <c r="A36" s="13" t="s">
        <v>68</v>
      </c>
      <c r="B36" s="57"/>
      <c r="C36" s="58"/>
      <c r="D36" s="59"/>
      <c r="E36" s="58"/>
      <c r="F36" s="60"/>
      <c r="G36" s="58"/>
      <c r="H36" s="67"/>
      <c r="I36" s="58"/>
      <c r="J36" s="83"/>
      <c r="K36" s="61"/>
      <c r="L36" s="83"/>
      <c r="M36" s="61"/>
      <c r="N36" s="83"/>
      <c r="O36" s="61"/>
      <c r="P36" s="83"/>
      <c r="Q36" s="61"/>
      <c r="R36" s="83"/>
      <c r="S36" s="84"/>
      <c r="T36" s="83"/>
      <c r="U36" s="84"/>
      <c r="V36" s="83"/>
      <c r="W36" s="84"/>
      <c r="X36" s="83"/>
    </row>
    <row r="37" spans="1:30" ht="12.75" customHeight="1" x14ac:dyDescent="0.15">
      <c r="A37" s="13" t="s">
        <v>106</v>
      </c>
      <c r="B37" s="62">
        <v>40901.29</v>
      </c>
      <c r="C37" s="58"/>
      <c r="D37" s="28">
        <v>43517</v>
      </c>
      <c r="E37" s="58"/>
      <c r="F37" s="75">
        <v>40761.25</v>
      </c>
      <c r="G37" s="58"/>
      <c r="H37" s="31">
        <v>25735</v>
      </c>
      <c r="I37" s="58"/>
      <c r="J37" s="82">
        <f>267500+3730</f>
        <v>271230</v>
      </c>
      <c r="K37" s="61"/>
      <c r="L37" s="82">
        <f>2845.85+26000.02</f>
        <v>28845.87</v>
      </c>
      <c r="M37" s="61"/>
      <c r="N37" s="82">
        <v>30500</v>
      </c>
      <c r="O37" s="61"/>
      <c r="P37" s="82">
        <f>28000+9500+3800</f>
        <v>41300</v>
      </c>
      <c r="Q37" s="61"/>
      <c r="R37" s="82">
        <f>28000+9500+3800</f>
        <v>41300</v>
      </c>
      <c r="S37" s="84"/>
      <c r="T37" s="82">
        <f>28000+9500+3800</f>
        <v>41300</v>
      </c>
      <c r="U37" s="84"/>
      <c r="V37" s="82">
        <f>28000+9500+3800</f>
        <v>41300</v>
      </c>
      <c r="W37" s="84"/>
      <c r="X37" s="82">
        <f>28000+9500+3800</f>
        <v>41300</v>
      </c>
    </row>
    <row r="38" spans="1:30" ht="12.75" customHeight="1" x14ac:dyDescent="0.15">
      <c r="A38" s="13" t="s">
        <v>192</v>
      </c>
      <c r="B38" s="62">
        <v>-478334.4</v>
      </c>
      <c r="C38" s="58"/>
      <c r="D38" s="28">
        <v>424839</v>
      </c>
      <c r="E38" s="58"/>
      <c r="F38" s="75">
        <v>117250.23</v>
      </c>
      <c r="G38" s="58"/>
      <c r="H38" s="31">
        <v>367970</v>
      </c>
      <c r="I38" s="58"/>
      <c r="J38" s="82">
        <f>414389+111553.09-18655.25+45634.86-21.91+1237950+28901.58</f>
        <v>1819751.37</v>
      </c>
      <c r="K38" s="61"/>
      <c r="L38" s="82">
        <v>1119064</v>
      </c>
      <c r="M38" s="61"/>
      <c r="N38" s="82">
        <v>200000</v>
      </c>
      <c r="O38" s="61"/>
      <c r="P38" s="82">
        <f>-550812+135000+200000</f>
        <v>-215812</v>
      </c>
      <c r="Q38" s="61"/>
      <c r="R38" s="82">
        <v>200000</v>
      </c>
      <c r="S38" s="84"/>
      <c r="T38" s="82">
        <v>200000</v>
      </c>
      <c r="U38" s="84"/>
      <c r="V38" s="82">
        <v>200000</v>
      </c>
      <c r="W38" s="84"/>
      <c r="X38" s="82">
        <v>200000</v>
      </c>
    </row>
    <row r="39" spans="1:30" ht="12.75" customHeight="1" x14ac:dyDescent="0.15">
      <c r="A39" s="13" t="s">
        <v>69</v>
      </c>
      <c r="B39" s="62">
        <v>49180.31</v>
      </c>
      <c r="C39" s="58"/>
      <c r="D39" s="28">
        <v>86087.14</v>
      </c>
      <c r="E39" s="58"/>
      <c r="F39" s="75">
        <v>38179.869999999995</v>
      </c>
      <c r="G39" s="58"/>
      <c r="H39" s="31">
        <v>49018</v>
      </c>
      <c r="I39" s="58"/>
      <c r="J39" s="82">
        <v>128432.2</v>
      </c>
      <c r="K39" s="61"/>
      <c r="L39" s="82">
        <v>50455.62</v>
      </c>
      <c r="M39" s="61"/>
      <c r="N39" s="82">
        <v>50000</v>
      </c>
      <c r="O39" s="61"/>
      <c r="P39" s="82">
        <v>80000</v>
      </c>
      <c r="Q39" s="61"/>
      <c r="R39" s="82">
        <v>50000</v>
      </c>
      <c r="S39" s="84"/>
      <c r="T39" s="82">
        <v>50000</v>
      </c>
      <c r="U39" s="84"/>
      <c r="V39" s="82">
        <v>50000</v>
      </c>
      <c r="W39" s="84"/>
      <c r="X39" s="82">
        <v>50000</v>
      </c>
    </row>
    <row r="40" spans="1:30" ht="12.75" customHeight="1" x14ac:dyDescent="0.15">
      <c r="A40" s="13" t="s">
        <v>70</v>
      </c>
      <c r="B40" s="62">
        <v>161304.59</v>
      </c>
      <c r="C40" s="58"/>
      <c r="D40" s="28">
        <v>84524.18</v>
      </c>
      <c r="E40" s="58"/>
      <c r="F40" s="75">
        <v>100322.58</v>
      </c>
      <c r="G40" s="58"/>
      <c r="H40" s="31">
        <v>85949</v>
      </c>
      <c r="I40" s="58"/>
      <c r="J40" s="82">
        <v>103982</v>
      </c>
      <c r="K40" s="61"/>
      <c r="L40" s="82">
        <v>243802.32</v>
      </c>
      <c r="M40" s="61"/>
      <c r="N40" s="82">
        <v>204000</v>
      </c>
      <c r="O40" s="61"/>
      <c r="P40" s="82">
        <v>340000</v>
      </c>
      <c r="Q40" s="61"/>
      <c r="R40" s="82">
        <f>86000+20000+36000+50000+15000+9000</f>
        <v>216000</v>
      </c>
      <c r="S40" s="84"/>
      <c r="T40" s="82">
        <f>86000+20000+36000+50000+15000+9000</f>
        <v>216000</v>
      </c>
      <c r="U40" s="84"/>
      <c r="V40" s="82">
        <f>86000+20000+36000+50000+15000+9000</f>
        <v>216000</v>
      </c>
      <c r="W40" s="84"/>
      <c r="X40" s="82">
        <f>86000+20000+36000+50000+15000+9000</f>
        <v>216000</v>
      </c>
    </row>
    <row r="41" spans="1:30" s="20" customFormat="1" ht="12.75" customHeight="1" x14ac:dyDescent="0.15">
      <c r="A41" s="13" t="s">
        <v>155</v>
      </c>
      <c r="B41" s="62">
        <v>0</v>
      </c>
      <c r="C41" s="58"/>
      <c r="D41" s="28">
        <v>0</v>
      </c>
      <c r="E41" s="58"/>
      <c r="F41" s="75">
        <v>0</v>
      </c>
      <c r="G41" s="58"/>
      <c r="H41" s="31">
        <v>79669</v>
      </c>
      <c r="I41" s="58"/>
      <c r="J41" s="82">
        <f>72500+7500+7500</f>
        <v>87500</v>
      </c>
      <c r="K41" s="61"/>
      <c r="L41" s="82">
        <f>67500+(7500*3)+19000</f>
        <v>109000</v>
      </c>
      <c r="M41" s="61"/>
      <c r="N41" s="82">
        <v>110000</v>
      </c>
      <c r="O41" s="61"/>
      <c r="P41" s="82">
        <f>90000+(1000000*0.02)</f>
        <v>110000</v>
      </c>
      <c r="Q41" s="61"/>
      <c r="R41" s="82">
        <f>7500*12+(1000000*0.02)</f>
        <v>110000</v>
      </c>
      <c r="S41" s="84"/>
      <c r="T41" s="82">
        <f>7500*12+(1000000*0.02)</f>
        <v>110000</v>
      </c>
      <c r="U41" s="84"/>
      <c r="V41" s="82">
        <f>7500*12+(1000000*0.02)</f>
        <v>110000</v>
      </c>
      <c r="W41" s="84"/>
      <c r="X41" s="82">
        <f>7500*12+(1000000*0.02)</f>
        <v>110000</v>
      </c>
    </row>
    <row r="42" spans="1:30" ht="12.75" customHeight="1" x14ac:dyDescent="0.15">
      <c r="A42" s="13" t="s">
        <v>71</v>
      </c>
      <c r="B42" s="62">
        <v>43536.63</v>
      </c>
      <c r="C42" s="58"/>
      <c r="D42" s="28">
        <v>46713</v>
      </c>
      <c r="E42" s="58"/>
      <c r="F42" s="75">
        <v>62200</v>
      </c>
      <c r="G42" s="58"/>
      <c r="H42" s="31">
        <v>78690</v>
      </c>
      <c r="I42" s="58"/>
      <c r="J42" s="82">
        <f>73258+7548+7548-1</f>
        <v>88353</v>
      </c>
      <c r="K42" s="61"/>
      <c r="L42" s="82">
        <v>90712.3</v>
      </c>
      <c r="M42" s="61"/>
      <c r="N42" s="82">
        <v>28291.71</v>
      </c>
      <c r="O42" s="61"/>
      <c r="P42" s="82">
        <f>((500*12)+(1019.7*3)+(1050.29*9)+(815*12))</f>
        <v>28291.71</v>
      </c>
      <c r="Q42" s="61"/>
      <c r="R42" s="82">
        <f>((500*12)+(1050.29*3)+(1081.8*9)+(815*12))</f>
        <v>28667.07</v>
      </c>
      <c r="S42" s="84"/>
      <c r="T42" s="82">
        <f>((500*12)+(1081.8*3)+(1114.25*9)+(815*12))</f>
        <v>29053.65</v>
      </c>
      <c r="U42" s="84"/>
      <c r="V42" s="82">
        <f>((500*12)+(1114.25*3)+(1147.68*9)+(815*12))</f>
        <v>29451.870000000003</v>
      </c>
      <c r="W42" s="84"/>
      <c r="X42" s="82">
        <f>((500*12)+(1147.68*3)+(1182.11*9)+(815*12))</f>
        <v>29862.03</v>
      </c>
    </row>
    <row r="43" spans="1:30" ht="12.75" customHeight="1" x14ac:dyDescent="0.15">
      <c r="A43" s="13" t="s">
        <v>72</v>
      </c>
      <c r="B43" s="62">
        <v>70720.61</v>
      </c>
      <c r="C43" s="58"/>
      <c r="D43" s="28">
        <v>139953.10999999999</v>
      </c>
      <c r="E43" s="58"/>
      <c r="F43" s="75">
        <v>197269.02</v>
      </c>
      <c r="G43" s="58"/>
      <c r="H43" s="31">
        <v>108814</v>
      </c>
      <c r="I43" s="58"/>
      <c r="J43" s="83">
        <f>113099+9000+9000+851+5900</f>
        <v>137850</v>
      </c>
      <c r="K43" s="61"/>
      <c r="L43" s="83">
        <v>225883.07</v>
      </c>
      <c r="M43" s="61"/>
      <c r="N43" s="83">
        <v>159504</v>
      </c>
      <c r="O43" s="61"/>
      <c r="P43" s="83">
        <v>155000</v>
      </c>
      <c r="Q43" s="61"/>
      <c r="R43" s="82">
        <v>160000</v>
      </c>
      <c r="S43" s="84"/>
      <c r="T43" s="82">
        <v>160000</v>
      </c>
      <c r="U43" s="84"/>
      <c r="V43" s="82">
        <v>160000</v>
      </c>
      <c r="W43" s="84"/>
      <c r="X43" s="82">
        <v>160000</v>
      </c>
    </row>
    <row r="44" spans="1:30" s="8" customFormat="1" ht="12.75" customHeight="1" x14ac:dyDescent="0.15">
      <c r="A44" s="97" t="s">
        <v>289</v>
      </c>
      <c r="B44" s="98">
        <v>0</v>
      </c>
      <c r="C44" s="83"/>
      <c r="D44" s="99">
        <v>0</v>
      </c>
      <c r="E44" s="83"/>
      <c r="F44" s="214">
        <v>0</v>
      </c>
      <c r="G44" s="83"/>
      <c r="H44" s="177">
        <v>0</v>
      </c>
      <c r="I44" s="83"/>
      <c r="J44" s="83">
        <v>0</v>
      </c>
      <c r="K44" s="61"/>
      <c r="L44" s="83">
        <v>0</v>
      </c>
      <c r="M44" s="61"/>
      <c r="N44" s="83">
        <v>27160</v>
      </c>
      <c r="O44" s="61"/>
      <c r="P44" s="83">
        <v>5000</v>
      </c>
      <c r="Q44" s="61"/>
      <c r="R44" s="82">
        <v>15000</v>
      </c>
      <c r="S44" s="84"/>
      <c r="T44" s="82">
        <v>15000</v>
      </c>
      <c r="U44" s="84"/>
      <c r="V44" s="82">
        <v>15000</v>
      </c>
      <c r="W44" s="84"/>
      <c r="X44" s="82">
        <v>15000</v>
      </c>
    </row>
    <row r="45" spans="1:30" s="8" customFormat="1" ht="12.75" customHeight="1" x14ac:dyDescent="0.15">
      <c r="A45" s="97" t="s">
        <v>290</v>
      </c>
      <c r="B45" s="98">
        <v>0</v>
      </c>
      <c r="C45" s="83"/>
      <c r="D45" s="99">
        <v>0</v>
      </c>
      <c r="E45" s="83"/>
      <c r="F45" s="214">
        <v>0</v>
      </c>
      <c r="G45" s="83"/>
      <c r="H45" s="177">
        <v>0</v>
      </c>
      <c r="I45" s="83"/>
      <c r="J45" s="83">
        <v>0</v>
      </c>
      <c r="K45" s="61"/>
      <c r="L45" s="83">
        <v>0</v>
      </c>
      <c r="M45" s="61"/>
      <c r="N45" s="83">
        <v>16200</v>
      </c>
      <c r="O45" s="61"/>
      <c r="P45" s="83">
        <f>4500+(1400*6)</f>
        <v>12900</v>
      </c>
      <c r="Q45" s="61"/>
      <c r="R45" s="82">
        <v>16200</v>
      </c>
      <c r="S45" s="84"/>
      <c r="T45" s="82">
        <v>16200</v>
      </c>
      <c r="U45" s="84"/>
      <c r="V45" s="82">
        <v>16200</v>
      </c>
      <c r="W45" s="84"/>
      <c r="X45" s="82">
        <v>16200</v>
      </c>
    </row>
    <row r="46" spans="1:30" ht="12.75" customHeight="1" x14ac:dyDescent="0.15">
      <c r="A46" s="13" t="s">
        <v>107</v>
      </c>
      <c r="B46" s="69">
        <v>103408.15</v>
      </c>
      <c r="C46" s="58"/>
      <c r="D46" s="70">
        <v>114675.07999999999</v>
      </c>
      <c r="E46" s="58"/>
      <c r="F46" s="71">
        <v>120987.87999999999</v>
      </c>
      <c r="G46" s="58"/>
      <c r="H46" s="69">
        <v>123693</v>
      </c>
      <c r="I46" s="58"/>
      <c r="J46" s="102">
        <f>156507+19000+19000-4786+239+150</f>
        <v>190110</v>
      </c>
      <c r="K46" s="61"/>
      <c r="L46" s="102">
        <f>+'Miscellaneous Expense'!L18</f>
        <v>230526.24000000002</v>
      </c>
      <c r="M46" s="61"/>
      <c r="N46" s="102">
        <v>180350</v>
      </c>
      <c r="O46" s="61"/>
      <c r="P46" s="102">
        <f>+'Miscellaneous Expense'!P18</f>
        <v>227884</v>
      </c>
      <c r="Q46" s="61"/>
      <c r="R46" s="102">
        <f>+'Miscellaneous Expense'!R18</f>
        <v>196625</v>
      </c>
      <c r="S46" s="84"/>
      <c r="T46" s="102">
        <f>+'Miscellaneous Expense'!T18</f>
        <v>196400</v>
      </c>
      <c r="U46" s="84"/>
      <c r="V46" s="102">
        <f>+'Miscellaneous Expense'!V18</f>
        <v>196675</v>
      </c>
      <c r="W46" s="84"/>
      <c r="X46" s="102">
        <f>+'Miscellaneous Expense'!X18</f>
        <v>196400</v>
      </c>
    </row>
    <row r="47" spans="1:30" ht="12.75" customHeight="1" x14ac:dyDescent="0.15">
      <c r="A47" s="13" t="s">
        <v>73</v>
      </c>
      <c r="B47" s="57">
        <f>SUM(B37:B46)</f>
        <v>-9282.8200000000506</v>
      </c>
      <c r="C47" s="58"/>
      <c r="D47" s="59">
        <f>SUM(D37:D46)</f>
        <v>940308.51</v>
      </c>
      <c r="E47" s="58"/>
      <c r="F47" s="60">
        <f>SUM(F37:F46)</f>
        <v>676970.83</v>
      </c>
      <c r="G47" s="58"/>
      <c r="H47" s="60">
        <f>SUM(H37:H46)</f>
        <v>919538</v>
      </c>
      <c r="I47" s="58"/>
      <c r="J47" s="83">
        <f>SUM(J37:J46)</f>
        <v>2827208.5700000003</v>
      </c>
      <c r="K47" s="61"/>
      <c r="L47" s="83">
        <f>SUM(L37:L46)</f>
        <v>2098289.4200000004</v>
      </c>
      <c r="M47" s="61"/>
      <c r="N47" s="83">
        <f>SUM(N37:N46)</f>
        <v>1006005.71</v>
      </c>
      <c r="O47" s="61"/>
      <c r="P47" s="83">
        <f>SUM(P37:P46)</f>
        <v>784563.71</v>
      </c>
      <c r="Q47" s="61"/>
      <c r="R47" s="83">
        <f>SUM(R37:R46)</f>
        <v>1033792.07</v>
      </c>
      <c r="S47" s="84"/>
      <c r="T47" s="83">
        <f>SUM(T37:T46)</f>
        <v>1033953.65</v>
      </c>
      <c r="U47" s="84"/>
      <c r="V47" s="83">
        <f>SUM(V37:V46)</f>
        <v>1034626.87</v>
      </c>
      <c r="W47" s="84"/>
      <c r="X47" s="83">
        <f>SUM(X37:X46)</f>
        <v>1034762.03</v>
      </c>
    </row>
    <row r="48" spans="1:30" ht="12.75" customHeight="1" x14ac:dyDescent="0.15">
      <c r="A48" s="13" t="s">
        <v>74</v>
      </c>
      <c r="B48" s="57">
        <v>19632.980000000003</v>
      </c>
      <c r="C48" s="58"/>
      <c r="D48" s="59">
        <v>38017.06</v>
      </c>
      <c r="E48" s="58"/>
      <c r="F48" s="60">
        <v>37733</v>
      </c>
      <c r="G48" s="58"/>
      <c r="H48" s="67">
        <v>26952</v>
      </c>
      <c r="I48" s="58"/>
      <c r="J48" s="83">
        <f>41782+1500+1393-73+1147-280+135</f>
        <v>45604</v>
      </c>
      <c r="K48" s="61"/>
      <c r="L48" s="83">
        <v>59727.99</v>
      </c>
      <c r="M48" s="61"/>
      <c r="N48" s="83">
        <v>63000</v>
      </c>
      <c r="O48" s="61"/>
      <c r="P48" s="83">
        <v>82000</v>
      </c>
      <c r="Q48" s="61"/>
      <c r="R48" s="83">
        <v>80000</v>
      </c>
      <c r="S48" s="84"/>
      <c r="T48" s="83">
        <v>80000</v>
      </c>
      <c r="U48" s="84"/>
      <c r="V48" s="83">
        <v>80000</v>
      </c>
      <c r="W48" s="84"/>
      <c r="X48" s="83">
        <v>80000</v>
      </c>
    </row>
    <row r="49" spans="1:25" ht="12.75" customHeight="1" x14ac:dyDescent="0.15">
      <c r="A49" s="13" t="s">
        <v>75</v>
      </c>
      <c r="B49" s="57"/>
      <c r="C49" s="58"/>
      <c r="D49" s="59"/>
      <c r="E49" s="58"/>
      <c r="F49" s="60"/>
      <c r="G49" s="58"/>
      <c r="H49" s="67"/>
      <c r="I49" s="58"/>
      <c r="J49" s="83"/>
      <c r="K49" s="61"/>
      <c r="L49" s="83"/>
      <c r="M49" s="61"/>
      <c r="N49" s="83"/>
      <c r="O49" s="61"/>
      <c r="P49" s="83"/>
      <c r="Q49" s="61"/>
      <c r="R49" s="83"/>
      <c r="S49" s="84"/>
      <c r="T49" s="83"/>
      <c r="U49" s="84"/>
      <c r="V49" s="83"/>
      <c r="W49" s="84"/>
      <c r="X49" s="83"/>
    </row>
    <row r="50" spans="1:25" s="8" customFormat="1" ht="12.75" customHeight="1" x14ac:dyDescent="0.15">
      <c r="A50" s="97" t="s">
        <v>108</v>
      </c>
      <c r="B50" s="98">
        <v>3388038</v>
      </c>
      <c r="C50" s="83"/>
      <c r="D50" s="99">
        <v>3349282.1900000004</v>
      </c>
      <c r="E50" s="83"/>
      <c r="F50" s="100">
        <v>2441973</v>
      </c>
      <c r="G50" s="83"/>
      <c r="H50" s="107">
        <v>1679587</v>
      </c>
      <c r="I50" s="83"/>
      <c r="J50" s="82">
        <f>1404652.59+99721.35+985650</f>
        <v>2490023.9400000004</v>
      </c>
      <c r="K50" s="61"/>
      <c r="L50" s="82">
        <v>0</v>
      </c>
      <c r="M50" s="61"/>
      <c r="N50" s="82">
        <v>0</v>
      </c>
      <c r="O50" s="61"/>
      <c r="P50" s="82">
        <v>0</v>
      </c>
      <c r="Q50" s="61"/>
      <c r="R50" s="82">
        <v>0</v>
      </c>
      <c r="S50" s="84"/>
      <c r="T50" s="82">
        <v>0</v>
      </c>
      <c r="U50" s="84"/>
      <c r="V50" s="82">
        <v>0</v>
      </c>
      <c r="W50" s="84"/>
      <c r="X50" s="82">
        <v>0</v>
      </c>
    </row>
    <row r="51" spans="1:25" ht="12.75" customHeight="1" x14ac:dyDescent="0.15">
      <c r="A51" s="13" t="s">
        <v>110</v>
      </c>
      <c r="B51" s="62">
        <v>0</v>
      </c>
      <c r="C51" s="58"/>
      <c r="D51" s="31">
        <v>0</v>
      </c>
      <c r="E51" s="58"/>
      <c r="F51" s="60">
        <v>281126</v>
      </c>
      <c r="G51" s="58"/>
      <c r="H51" s="67">
        <v>179032</v>
      </c>
      <c r="I51" s="58"/>
      <c r="J51" s="82">
        <v>0</v>
      </c>
      <c r="K51" s="61"/>
      <c r="L51" s="82">
        <v>0</v>
      </c>
      <c r="M51" s="61"/>
      <c r="N51" s="82">
        <v>0</v>
      </c>
      <c r="O51" s="61"/>
      <c r="P51" s="82">
        <v>0</v>
      </c>
      <c r="Q51" s="61"/>
      <c r="R51" s="82">
        <v>0</v>
      </c>
      <c r="S51" s="107"/>
      <c r="T51" s="82">
        <v>0</v>
      </c>
      <c r="U51" s="107"/>
      <c r="V51" s="82">
        <v>0</v>
      </c>
      <c r="W51" s="107"/>
      <c r="X51" s="82">
        <v>0</v>
      </c>
    </row>
    <row r="52" spans="1:25" ht="12.75" customHeight="1" x14ac:dyDescent="0.15">
      <c r="A52" s="13" t="s">
        <v>76</v>
      </c>
      <c r="B52" s="62">
        <v>-189533.78</v>
      </c>
      <c r="C52" s="58"/>
      <c r="D52" s="28">
        <v>-196724</v>
      </c>
      <c r="E52" s="58"/>
      <c r="F52" s="60">
        <v>-899180.01</v>
      </c>
      <c r="G52" s="58"/>
      <c r="H52" s="67">
        <v>787434</v>
      </c>
      <c r="I52" s="58"/>
      <c r="J52" s="82">
        <f>-35335-111553</f>
        <v>-146888</v>
      </c>
      <c r="K52" s="61"/>
      <c r="L52" s="82">
        <v>0</v>
      </c>
      <c r="M52" s="61"/>
      <c r="N52" s="82">
        <v>0</v>
      </c>
      <c r="O52" s="61"/>
      <c r="P52" s="82">
        <v>0</v>
      </c>
      <c r="Q52" s="61"/>
      <c r="R52" s="82">
        <v>0</v>
      </c>
      <c r="S52" s="84"/>
      <c r="T52" s="82" t="s">
        <v>177</v>
      </c>
      <c r="U52" s="84"/>
      <c r="V52" s="82">
        <v>0</v>
      </c>
      <c r="W52" s="84"/>
      <c r="X52" s="82">
        <v>0</v>
      </c>
    </row>
    <row r="53" spans="1:25" ht="12.75" customHeight="1" x14ac:dyDescent="0.15">
      <c r="A53" s="13" t="s">
        <v>62</v>
      </c>
      <c r="B53" s="62">
        <v>75451.86</v>
      </c>
      <c r="C53" s="58"/>
      <c r="D53" s="28">
        <v>72090</v>
      </c>
      <c r="E53" s="58"/>
      <c r="F53" s="60">
        <v>57279</v>
      </c>
      <c r="G53" s="58"/>
      <c r="H53" s="67">
        <v>54526</v>
      </c>
      <c r="I53" s="58"/>
      <c r="J53" s="82">
        <f>23948.56+1379</f>
        <v>25327.56</v>
      </c>
      <c r="K53" s="61"/>
      <c r="L53" s="82">
        <f>24231.75+2156</f>
        <v>26387.75</v>
      </c>
      <c r="M53" s="61"/>
      <c r="N53" s="82">
        <v>30000</v>
      </c>
      <c r="O53" s="61"/>
      <c r="P53" s="82">
        <v>16000</v>
      </c>
      <c r="Q53" s="61"/>
      <c r="R53" s="82">
        <v>0</v>
      </c>
      <c r="S53" s="84"/>
      <c r="T53" s="82">
        <v>0</v>
      </c>
      <c r="U53" s="84"/>
      <c r="V53" s="82">
        <v>0</v>
      </c>
      <c r="W53" s="84"/>
      <c r="X53" s="82">
        <v>0</v>
      </c>
    </row>
    <row r="54" spans="1:25" ht="12.75" customHeight="1" x14ac:dyDescent="0.15">
      <c r="A54" s="13" t="s">
        <v>94</v>
      </c>
      <c r="B54" s="62">
        <v>0</v>
      </c>
      <c r="C54" s="58"/>
      <c r="D54" s="28">
        <v>0</v>
      </c>
      <c r="E54" s="58"/>
      <c r="F54" s="60">
        <v>8247</v>
      </c>
      <c r="G54" s="58"/>
      <c r="H54" s="67">
        <v>4925</v>
      </c>
      <c r="I54" s="58"/>
      <c r="J54" s="82">
        <v>-27</v>
      </c>
      <c r="K54" s="61"/>
      <c r="L54" s="82">
        <v>-215</v>
      </c>
      <c r="M54" s="61"/>
      <c r="N54" s="82">
        <v>0</v>
      </c>
      <c r="O54" s="61"/>
      <c r="P54" s="82">
        <v>500</v>
      </c>
      <c r="Q54" s="61"/>
      <c r="R54" s="82">
        <v>500</v>
      </c>
      <c r="S54" s="84"/>
      <c r="T54" s="82">
        <v>500</v>
      </c>
      <c r="U54" s="84"/>
      <c r="V54" s="82">
        <v>500</v>
      </c>
      <c r="W54" s="84"/>
      <c r="X54" s="82">
        <v>500</v>
      </c>
    </row>
    <row r="55" spans="1:25" ht="12.75" customHeight="1" x14ac:dyDescent="0.15">
      <c r="A55" s="13" t="s">
        <v>77</v>
      </c>
      <c r="B55" s="62">
        <v>128383.6</v>
      </c>
      <c r="C55" s="58"/>
      <c r="D55" s="28">
        <v>131264.17000000001</v>
      </c>
      <c r="E55" s="58"/>
      <c r="F55" s="60">
        <v>148299.15000000002</v>
      </c>
      <c r="G55" s="58"/>
      <c r="H55" s="67">
        <v>43647</v>
      </c>
      <c r="I55" s="58"/>
      <c r="J55" s="82">
        <f>64340+4000+35000+2125+7175+53</f>
        <v>112693</v>
      </c>
      <c r="K55" s="61"/>
      <c r="L55" s="82">
        <v>40105.230000000003</v>
      </c>
      <c r="M55" s="61"/>
      <c r="N55" s="82">
        <v>40000</v>
      </c>
      <c r="O55" s="61"/>
      <c r="P55" s="82">
        <v>20000</v>
      </c>
      <c r="Q55" s="61"/>
      <c r="R55" s="82">
        <v>20000</v>
      </c>
      <c r="S55" s="84"/>
      <c r="T55" s="82">
        <v>20000</v>
      </c>
      <c r="U55" s="84"/>
      <c r="V55" s="82">
        <v>20000</v>
      </c>
      <c r="W55" s="84"/>
      <c r="X55" s="82">
        <v>20000</v>
      </c>
      <c r="Y55" s="8"/>
    </row>
    <row r="56" spans="1:25" ht="12.75" customHeight="1" x14ac:dyDescent="0.15">
      <c r="A56" s="13" t="s">
        <v>79</v>
      </c>
      <c r="B56" s="62">
        <v>4653.25</v>
      </c>
      <c r="C56" s="58"/>
      <c r="D56" s="28">
        <v>49018.080000000002</v>
      </c>
      <c r="E56" s="58"/>
      <c r="F56" s="60">
        <v>19002.93</v>
      </c>
      <c r="G56" s="58"/>
      <c r="H56" s="67">
        <v>58225</v>
      </c>
      <c r="I56" s="58"/>
      <c r="J56" s="82">
        <f>6552+701+333</f>
        <v>7586</v>
      </c>
      <c r="K56" s="61"/>
      <c r="L56" s="82">
        <v>6810.04</v>
      </c>
      <c r="M56" s="61"/>
      <c r="N56" s="82">
        <v>7500</v>
      </c>
      <c r="O56" s="61"/>
      <c r="P56" s="82">
        <v>12000</v>
      </c>
      <c r="Q56" s="61"/>
      <c r="R56" s="82">
        <v>7500</v>
      </c>
      <c r="S56" s="84"/>
      <c r="T56" s="82">
        <v>7500</v>
      </c>
      <c r="U56" s="84"/>
      <c r="V56" s="82">
        <v>7500</v>
      </c>
      <c r="W56" s="84"/>
      <c r="X56" s="82">
        <v>7500</v>
      </c>
      <c r="Y56" s="8"/>
    </row>
    <row r="57" spans="1:25" ht="12.75" customHeight="1" x14ac:dyDescent="0.15">
      <c r="A57" s="13" t="s">
        <v>78</v>
      </c>
      <c r="B57" s="62">
        <v>213176.54</v>
      </c>
      <c r="C57" s="58"/>
      <c r="D57" s="28">
        <v>645224</v>
      </c>
      <c r="E57" s="58"/>
      <c r="F57" s="60">
        <v>930324.43</v>
      </c>
      <c r="G57" s="58"/>
      <c r="H57" s="67">
        <v>185308</v>
      </c>
      <c r="I57" s="58"/>
      <c r="J57" s="82">
        <f>28433+18116+59308</f>
        <v>105857</v>
      </c>
      <c r="K57" s="61"/>
      <c r="L57" s="82">
        <f>5681+26380+(16277.57*2)</f>
        <v>64616.14</v>
      </c>
      <c r="M57" s="61"/>
      <c r="N57" s="82">
        <v>40000</v>
      </c>
      <c r="O57" s="61"/>
      <c r="P57" s="82">
        <v>57000</v>
      </c>
      <c r="Q57" s="61"/>
      <c r="R57" s="82">
        <v>40000</v>
      </c>
      <c r="S57" s="84"/>
      <c r="T57" s="82">
        <v>40000</v>
      </c>
      <c r="U57" s="84"/>
      <c r="V57" s="82">
        <v>40000</v>
      </c>
      <c r="W57" s="84"/>
      <c r="X57" s="82">
        <v>40000</v>
      </c>
    </row>
    <row r="58" spans="1:25" ht="12.75" customHeight="1" x14ac:dyDescent="0.15">
      <c r="A58" s="13" t="s">
        <v>109</v>
      </c>
      <c r="B58" s="64">
        <v>332470</v>
      </c>
      <c r="C58" s="58"/>
      <c r="D58" s="33">
        <v>368582.59</v>
      </c>
      <c r="E58" s="58"/>
      <c r="F58" s="71">
        <v>31423</v>
      </c>
      <c r="G58" s="58"/>
      <c r="H58" s="69">
        <v>3358</v>
      </c>
      <c r="I58" s="58"/>
      <c r="J58" s="103">
        <f>600+473+460-88-0.6</f>
        <v>1444.4</v>
      </c>
      <c r="K58" s="61"/>
      <c r="L58" s="103">
        <f>600-190.69+66.12+0.9</f>
        <v>476.33</v>
      </c>
      <c r="M58" s="61"/>
      <c r="N58" s="103">
        <v>3000</v>
      </c>
      <c r="O58" s="61"/>
      <c r="P58" s="103">
        <v>0</v>
      </c>
      <c r="Q58" s="61"/>
      <c r="R58" s="103">
        <v>0</v>
      </c>
      <c r="S58" s="84"/>
      <c r="T58" s="103">
        <v>0</v>
      </c>
      <c r="U58" s="84"/>
      <c r="V58" s="103">
        <v>0</v>
      </c>
      <c r="W58" s="84"/>
      <c r="X58" s="103">
        <v>0</v>
      </c>
    </row>
    <row r="59" spans="1:25" ht="12.75" customHeight="1" x14ac:dyDescent="0.15">
      <c r="A59" s="13" t="s">
        <v>80</v>
      </c>
      <c r="B59" s="57">
        <f>SUM(B50:B58)</f>
        <v>3952639.47</v>
      </c>
      <c r="C59" s="58"/>
      <c r="D59" s="59">
        <f>SUM(D50:D58)</f>
        <v>4418737.03</v>
      </c>
      <c r="E59" s="58"/>
      <c r="F59" s="60">
        <f>SUM(F50:F58)</f>
        <v>3018494.5</v>
      </c>
      <c r="G59" s="58"/>
      <c r="H59" s="60">
        <f>SUM(H50:H58)</f>
        <v>2996042</v>
      </c>
      <c r="I59" s="58"/>
      <c r="J59" s="83">
        <f>SUM(J50:J58)</f>
        <v>2596016.9000000004</v>
      </c>
      <c r="K59" s="61"/>
      <c r="L59" s="83">
        <f>SUM(L50:L58)</f>
        <v>138180.49</v>
      </c>
      <c r="M59" s="61"/>
      <c r="N59" s="83">
        <f>SUM(N50:N58)</f>
        <v>120500</v>
      </c>
      <c r="O59" s="61"/>
      <c r="P59" s="83">
        <f>SUM(P50:P58)</f>
        <v>105500</v>
      </c>
      <c r="Q59" s="61"/>
      <c r="R59" s="83">
        <f>SUM(R50:R58)</f>
        <v>68000</v>
      </c>
      <c r="S59" s="84"/>
      <c r="T59" s="83">
        <f>SUM(T50:T58)</f>
        <v>68000</v>
      </c>
      <c r="U59" s="84"/>
      <c r="V59" s="83">
        <f>SUM(V50:V58)</f>
        <v>68000</v>
      </c>
      <c r="W59" s="84"/>
      <c r="X59" s="83">
        <f>SUM(X50:X58)</f>
        <v>68000</v>
      </c>
    </row>
    <row r="60" spans="1:25" ht="12.75" customHeight="1" x14ac:dyDescent="0.15">
      <c r="A60" s="13" t="s">
        <v>81</v>
      </c>
      <c r="B60" s="57"/>
      <c r="C60" s="58"/>
      <c r="D60" s="59"/>
      <c r="E60" s="58"/>
      <c r="F60" s="60"/>
      <c r="G60" s="58"/>
      <c r="H60" s="67"/>
      <c r="I60" s="58"/>
      <c r="J60" s="83"/>
      <c r="K60" s="61"/>
      <c r="L60" s="83"/>
      <c r="M60" s="61"/>
      <c r="N60" s="83"/>
      <c r="O60" s="61"/>
      <c r="P60" s="83"/>
      <c r="Q60" s="61"/>
      <c r="R60" s="83"/>
      <c r="S60" s="84"/>
      <c r="T60" s="83"/>
      <c r="U60" s="84"/>
      <c r="V60" s="83"/>
      <c r="W60" s="84"/>
      <c r="X60" s="83"/>
    </row>
    <row r="61" spans="1:25" ht="12.75" customHeight="1" x14ac:dyDescent="0.15">
      <c r="A61" s="97" t="s">
        <v>82</v>
      </c>
      <c r="B61" s="62">
        <v>17346.189999999999</v>
      </c>
      <c r="C61" s="58"/>
      <c r="D61" s="28">
        <v>20094.04</v>
      </c>
      <c r="E61" s="58"/>
      <c r="F61" s="60">
        <v>21213.57</v>
      </c>
      <c r="G61" s="58"/>
      <c r="H61" s="67">
        <v>16232.26</v>
      </c>
      <c r="I61" s="58"/>
      <c r="J61" s="82">
        <f>11000-182</f>
        <v>10818</v>
      </c>
      <c r="K61" s="61"/>
      <c r="L61" s="82">
        <v>34142.68</v>
      </c>
      <c r="M61" s="61"/>
      <c r="N61" s="82">
        <v>56061.971868131863</v>
      </c>
      <c r="O61" s="61"/>
      <c r="P61" s="82">
        <v>75000</v>
      </c>
      <c r="Q61" s="61"/>
      <c r="R61" s="82">
        <f>6950*12</f>
        <v>83400</v>
      </c>
      <c r="S61" s="84"/>
      <c r="T61" s="82">
        <f>6950*12</f>
        <v>83400</v>
      </c>
      <c r="U61" s="84"/>
      <c r="V61" s="82">
        <f>6950*12</f>
        <v>83400</v>
      </c>
      <c r="W61" s="84"/>
      <c r="X61" s="82">
        <f>6950*12</f>
        <v>83400</v>
      </c>
    </row>
    <row r="62" spans="1:25" s="8" customFormat="1" ht="12.75" customHeight="1" x14ac:dyDescent="0.15">
      <c r="A62" s="97" t="s">
        <v>83</v>
      </c>
      <c r="B62" s="98">
        <v>46314.62</v>
      </c>
      <c r="C62" s="83"/>
      <c r="D62" s="99">
        <v>54464</v>
      </c>
      <c r="E62" s="83"/>
      <c r="F62" s="100">
        <v>58790.77</v>
      </c>
      <c r="G62" s="83"/>
      <c r="H62" s="107">
        <v>54744.43</v>
      </c>
      <c r="I62" s="83"/>
      <c r="J62" s="82">
        <f>43493+4100+4100-41</f>
        <v>51652</v>
      </c>
      <c r="K62" s="61"/>
      <c r="L62" s="82">
        <v>51626.97</v>
      </c>
      <c r="M62" s="61"/>
      <c r="N62" s="82">
        <v>63000</v>
      </c>
      <c r="O62" s="61"/>
      <c r="P62" s="82">
        <f>52000+11000</f>
        <v>63000</v>
      </c>
      <c r="Q62" s="61"/>
      <c r="R62" s="82">
        <v>65000</v>
      </c>
      <c r="S62" s="84"/>
      <c r="T62" s="82">
        <v>67000</v>
      </c>
      <c r="U62" s="84"/>
      <c r="V62" s="82">
        <v>70000</v>
      </c>
      <c r="W62" s="84"/>
      <c r="X62" s="82">
        <v>72000</v>
      </c>
    </row>
    <row r="63" spans="1:25" s="8" customFormat="1" ht="12.75" customHeight="1" x14ac:dyDescent="0.15">
      <c r="A63" s="97" t="s">
        <v>203</v>
      </c>
      <c r="B63" s="98">
        <v>0</v>
      </c>
      <c r="C63" s="83"/>
      <c r="D63" s="99">
        <v>0</v>
      </c>
      <c r="E63" s="83"/>
      <c r="F63" s="100">
        <v>0</v>
      </c>
      <c r="G63" s="83"/>
      <c r="H63" s="107">
        <v>0</v>
      </c>
      <c r="I63" s="83"/>
      <c r="J63" s="82">
        <v>0</v>
      </c>
      <c r="K63" s="61"/>
      <c r="L63" s="82">
        <v>0</v>
      </c>
      <c r="M63" s="61"/>
      <c r="N63" s="82">
        <v>12000</v>
      </c>
      <c r="O63" s="61"/>
      <c r="P63" s="82">
        <v>12000</v>
      </c>
      <c r="Q63" s="61"/>
      <c r="R63" s="82">
        <v>12000</v>
      </c>
      <c r="S63" s="84"/>
      <c r="T63" s="82">
        <v>12000</v>
      </c>
      <c r="U63" s="84"/>
      <c r="V63" s="82">
        <v>12000</v>
      </c>
      <c r="W63" s="84"/>
      <c r="X63" s="82">
        <v>12000</v>
      </c>
    </row>
    <row r="64" spans="1:25" ht="12.75" customHeight="1" x14ac:dyDescent="0.15">
      <c r="A64" s="13" t="s">
        <v>84</v>
      </c>
      <c r="B64" s="62">
        <v>3789.66</v>
      </c>
      <c r="C64" s="58"/>
      <c r="D64" s="28">
        <v>3969.73</v>
      </c>
      <c r="E64" s="58"/>
      <c r="F64" s="60">
        <v>3944.81</v>
      </c>
      <c r="G64" s="58"/>
      <c r="H64" s="67">
        <v>8473.44</v>
      </c>
      <c r="I64" s="58"/>
      <c r="J64" s="82">
        <v>1921</v>
      </c>
      <c r="K64" s="61"/>
      <c r="L64" s="82">
        <v>1404.59</v>
      </c>
      <c r="M64" s="61"/>
      <c r="N64" s="82">
        <v>3000</v>
      </c>
      <c r="O64" s="61"/>
      <c r="P64" s="82">
        <v>1400</v>
      </c>
      <c r="Q64" s="61"/>
      <c r="R64" s="82">
        <v>1500</v>
      </c>
      <c r="S64" s="84"/>
      <c r="T64" s="82">
        <v>1500</v>
      </c>
      <c r="U64" s="84"/>
      <c r="V64" s="82">
        <v>1500</v>
      </c>
      <c r="W64" s="84"/>
      <c r="X64" s="82">
        <v>1500</v>
      </c>
    </row>
    <row r="65" spans="1:24" ht="12.75" customHeight="1" x14ac:dyDescent="0.15">
      <c r="A65" s="13" t="s">
        <v>85</v>
      </c>
      <c r="B65" s="62">
        <v>401437</v>
      </c>
      <c r="C65" s="58"/>
      <c r="D65" s="28">
        <v>340771</v>
      </c>
      <c r="E65" s="58"/>
      <c r="F65" s="60">
        <v>0</v>
      </c>
      <c r="G65" s="58"/>
      <c r="H65" s="67">
        <v>0</v>
      </c>
      <c r="I65" s="58"/>
      <c r="J65" s="82">
        <v>0</v>
      </c>
      <c r="K65" s="61"/>
      <c r="L65" s="82">
        <v>0</v>
      </c>
      <c r="M65" s="61"/>
      <c r="N65" s="82">
        <v>0</v>
      </c>
      <c r="O65" s="61"/>
      <c r="P65" s="82">
        <v>0</v>
      </c>
      <c r="Q65" s="61"/>
      <c r="R65" s="82">
        <v>0</v>
      </c>
      <c r="S65" s="84"/>
      <c r="T65" s="82">
        <v>0</v>
      </c>
      <c r="U65" s="84"/>
      <c r="V65" s="82">
        <v>0</v>
      </c>
      <c r="W65" s="84"/>
      <c r="X65" s="82">
        <v>0</v>
      </c>
    </row>
    <row r="66" spans="1:24" ht="12.75" customHeight="1" x14ac:dyDescent="0.15">
      <c r="A66" s="13" t="s">
        <v>154</v>
      </c>
      <c r="B66" s="62">
        <v>476888.45</v>
      </c>
      <c r="C66" s="58"/>
      <c r="D66" s="28">
        <v>-68263.299999999988</v>
      </c>
      <c r="E66" s="58"/>
      <c r="F66" s="60">
        <v>0</v>
      </c>
      <c r="G66" s="58"/>
      <c r="H66" s="67">
        <v>0</v>
      </c>
      <c r="I66" s="58"/>
      <c r="J66" s="82">
        <v>0</v>
      </c>
      <c r="K66" s="61"/>
      <c r="L66" s="82">
        <v>0</v>
      </c>
      <c r="M66" s="61"/>
      <c r="N66" s="82">
        <v>0</v>
      </c>
      <c r="O66" s="61"/>
      <c r="P66" s="82">
        <v>0</v>
      </c>
      <c r="Q66" s="61"/>
      <c r="R66" s="82">
        <v>0</v>
      </c>
      <c r="S66" s="84"/>
      <c r="T66" s="82">
        <v>0</v>
      </c>
      <c r="U66" s="84"/>
      <c r="V66" s="82">
        <v>0</v>
      </c>
      <c r="W66" s="84"/>
      <c r="X66" s="82">
        <v>0</v>
      </c>
    </row>
    <row r="67" spans="1:24" s="20" customFormat="1" ht="12.75" customHeight="1" x14ac:dyDescent="0.15">
      <c r="A67" s="13" t="s">
        <v>118</v>
      </c>
      <c r="B67" s="62">
        <v>0</v>
      </c>
      <c r="C67" s="58"/>
      <c r="D67" s="28">
        <v>360</v>
      </c>
      <c r="E67" s="58"/>
      <c r="F67" s="60">
        <v>0</v>
      </c>
      <c r="G67" s="58"/>
      <c r="H67" s="67">
        <v>0</v>
      </c>
      <c r="I67" s="58"/>
      <c r="J67" s="63">
        <v>0</v>
      </c>
      <c r="K67" s="61"/>
      <c r="L67" s="63">
        <v>0</v>
      </c>
      <c r="M67" s="61"/>
      <c r="N67" s="63">
        <v>0</v>
      </c>
      <c r="O67" s="61"/>
      <c r="P67" s="63">
        <v>0</v>
      </c>
      <c r="Q67" s="61"/>
      <c r="R67" s="82">
        <v>0</v>
      </c>
      <c r="S67" s="84"/>
      <c r="T67" s="82">
        <v>0</v>
      </c>
      <c r="U67" s="84"/>
      <c r="V67" s="82">
        <v>0</v>
      </c>
      <c r="W67" s="84"/>
      <c r="X67" s="82">
        <v>0</v>
      </c>
    </row>
    <row r="68" spans="1:24" ht="12.75" customHeight="1" x14ac:dyDescent="0.15">
      <c r="A68" s="13" t="s">
        <v>86</v>
      </c>
      <c r="B68" s="64">
        <v>0</v>
      </c>
      <c r="C68" s="58"/>
      <c r="D68" s="33">
        <v>19438.47</v>
      </c>
      <c r="E68" s="58"/>
      <c r="F68" s="71">
        <v>103167.45</v>
      </c>
      <c r="G68" s="58"/>
      <c r="H68" s="69">
        <v>253671.48</v>
      </c>
      <c r="I68" s="58"/>
      <c r="J68" s="66">
        <f>213532+20000+20000-879</f>
        <v>252653</v>
      </c>
      <c r="K68" s="61"/>
      <c r="L68" s="66">
        <v>242469.3</v>
      </c>
      <c r="M68" s="61"/>
      <c r="N68" s="66">
        <v>378758.80359987839</v>
      </c>
      <c r="O68" s="61"/>
      <c r="P68" s="66">
        <f>+'Debt Sources'!O37</f>
        <v>430576.36643972015</v>
      </c>
      <c r="Q68" s="61"/>
      <c r="R68" s="103">
        <f>+'Debt Sources'!P37</f>
        <v>596290.37981088867</v>
      </c>
      <c r="S68" s="84"/>
      <c r="T68" s="103">
        <f>+'Debt Sources'!Q37</f>
        <v>721108.29285564285</v>
      </c>
      <c r="U68" s="84"/>
      <c r="V68" s="103">
        <f>+'Debt Sources'!R37</f>
        <v>758950.72023666091</v>
      </c>
      <c r="W68" s="84"/>
      <c r="X68" s="103">
        <f>+'Debt Sources'!S37</f>
        <v>872899.09530627646</v>
      </c>
    </row>
    <row r="69" spans="1:24" ht="12.75" customHeight="1" x14ac:dyDescent="0.15">
      <c r="A69" s="13" t="s">
        <v>87</v>
      </c>
      <c r="B69" s="69">
        <f>SUM(B61:B68)</f>
        <v>945775.91999999993</v>
      </c>
      <c r="C69" s="58"/>
      <c r="D69" s="70">
        <f>SUM(D61:D68)</f>
        <v>370833.94000000006</v>
      </c>
      <c r="E69" s="58"/>
      <c r="F69" s="71">
        <f>SUM(F61:F68)</f>
        <v>187116.59999999998</v>
      </c>
      <c r="G69" s="58"/>
      <c r="H69" s="71">
        <f>SUM(H61:H68)</f>
        <v>333121.61</v>
      </c>
      <c r="I69" s="58"/>
      <c r="J69" s="72">
        <f>SUM(J61:J68)</f>
        <v>317044</v>
      </c>
      <c r="K69" s="61"/>
      <c r="L69" s="72">
        <f>SUM(L61:L68)</f>
        <v>329643.53999999998</v>
      </c>
      <c r="M69" s="61"/>
      <c r="N69" s="72">
        <f>SUM(N61:N68)</f>
        <v>512820.77546801022</v>
      </c>
      <c r="O69" s="61"/>
      <c r="P69" s="72">
        <f>SUM(P61:P68)</f>
        <v>581976.36643972015</v>
      </c>
      <c r="Q69" s="61"/>
      <c r="R69" s="72">
        <f>SUM(R61:R68)</f>
        <v>758190.37981088867</v>
      </c>
      <c r="S69" s="59"/>
      <c r="T69" s="72">
        <f>SUM(T61:T68)</f>
        <v>885008.29285564285</v>
      </c>
      <c r="U69" s="59"/>
      <c r="V69" s="72">
        <f>SUM(V61:V68)</f>
        <v>925850.72023666091</v>
      </c>
      <c r="W69" s="59"/>
      <c r="X69" s="72">
        <f>SUM(X61:X68)</f>
        <v>1041799.0953062765</v>
      </c>
    </row>
    <row r="70" spans="1:24" ht="12.75" customHeight="1" x14ac:dyDescent="0.15">
      <c r="A70" s="13" t="s">
        <v>88</v>
      </c>
      <c r="B70" s="73">
        <f>+B35+B47+B59+B69+B48</f>
        <v>5850045.5500000007</v>
      </c>
      <c r="C70" s="58"/>
      <c r="D70" s="76">
        <f>+D35+D47+D59+D69+D48</f>
        <v>6719949.54</v>
      </c>
      <c r="E70" s="58"/>
      <c r="F70" s="77">
        <f>+F35+F47+F59+F69+F48</f>
        <v>5040835.3</v>
      </c>
      <c r="G70" s="58"/>
      <c r="H70" s="77">
        <f>+H35+H47+H59+H69+H48</f>
        <v>5512267.6100000003</v>
      </c>
      <c r="I70" s="58"/>
      <c r="J70" s="74">
        <f>+J35+J47+J48+J59+J69-1</f>
        <v>7138221.4700000007</v>
      </c>
      <c r="K70" s="61"/>
      <c r="L70" s="74">
        <f>+L35+L47+L48+L59+L69-1</f>
        <v>4287233.6500000004</v>
      </c>
      <c r="M70" s="61"/>
      <c r="N70" s="74">
        <f>+N35+N47+N48+N59+N69-1</f>
        <v>3397325.7257180102</v>
      </c>
      <c r="O70" s="61"/>
      <c r="P70" s="74">
        <f>+P35+P47+P59+P69+P48</f>
        <v>3324040.0764397201</v>
      </c>
      <c r="Q70" s="61"/>
      <c r="R70" s="74">
        <f>+R35+R47+R59+R69+R48</f>
        <v>3750027.4498108886</v>
      </c>
      <c r="S70" s="59"/>
      <c r="T70" s="74">
        <f>+T35+T47+T59+T69+T48</f>
        <v>3926262.2928556427</v>
      </c>
      <c r="U70" s="59"/>
      <c r="V70" s="74">
        <f>+V35+V47+V59+V69+V48</f>
        <v>4018510.950736661</v>
      </c>
      <c r="W70" s="59"/>
      <c r="X70" s="74">
        <f>+X35+X47+X59+X69+X48</f>
        <v>4186849.4866212765</v>
      </c>
    </row>
    <row r="71" spans="1:24" ht="12.75" customHeight="1" thickBot="1" x14ac:dyDescent="0.2">
      <c r="A71" s="13" t="s">
        <v>89</v>
      </c>
      <c r="B71" s="78">
        <f>+B32-B70</f>
        <v>-391868.58000000101</v>
      </c>
      <c r="C71" s="72"/>
      <c r="D71" s="79">
        <f>+D32-D70</f>
        <v>-3712176.58</v>
      </c>
      <c r="E71" s="72"/>
      <c r="F71" s="80">
        <f>+F32-F70</f>
        <v>-3113004</v>
      </c>
      <c r="G71" s="72"/>
      <c r="H71" s="80">
        <f>+H32-H70</f>
        <v>-4699786.6100000003</v>
      </c>
      <c r="I71" s="72"/>
      <c r="J71" s="81">
        <f>+J32-J70</f>
        <v>48332.939999999478</v>
      </c>
      <c r="K71" s="61"/>
      <c r="L71" s="81">
        <f>+L32-L70</f>
        <v>325137.80759999901</v>
      </c>
      <c r="M71" s="61"/>
      <c r="N71" s="81">
        <f>+N32-N70</f>
        <v>479557.39178198995</v>
      </c>
      <c r="O71" s="61"/>
      <c r="P71" s="81">
        <f>+P32-P70</f>
        <v>1597827.5235602795</v>
      </c>
      <c r="Q71" s="61"/>
      <c r="R71" s="81">
        <f>+R32-R70</f>
        <v>12894.550189111382</v>
      </c>
      <c r="S71" s="59"/>
      <c r="T71" s="81">
        <f>+T32-T70</f>
        <v>72178.707144357264</v>
      </c>
      <c r="U71" s="59"/>
      <c r="V71" s="81">
        <f>+V32-V70</f>
        <v>245551.04926333902</v>
      </c>
      <c r="W71" s="59"/>
      <c r="X71" s="81">
        <f>+X32-X70</f>
        <v>254708.51337872352</v>
      </c>
    </row>
    <row r="72" spans="1:24" ht="11.25" thickTop="1" x14ac:dyDescent="0.15">
      <c r="A72" s="7"/>
      <c r="B72" s="53"/>
      <c r="C72" s="53"/>
      <c r="D72" s="53"/>
      <c r="E72" s="53"/>
      <c r="F72" s="53"/>
      <c r="G72" s="53"/>
      <c r="H72" s="53"/>
      <c r="I72" s="53"/>
      <c r="J72" s="59"/>
      <c r="K72" s="84"/>
      <c r="L72" s="59"/>
      <c r="M72" s="84"/>
      <c r="N72" s="59"/>
      <c r="O72" s="84"/>
      <c r="P72" s="59"/>
      <c r="Q72" s="84"/>
      <c r="R72" s="59"/>
      <c r="S72" s="59"/>
      <c r="T72" s="59"/>
      <c r="U72" s="59"/>
      <c r="V72" s="59"/>
      <c r="W72" s="59"/>
      <c r="X72" s="59"/>
    </row>
    <row r="73" spans="1:24" customFormat="1" x14ac:dyDescent="0.15">
      <c r="A73" s="155" t="s">
        <v>202</v>
      </c>
      <c r="B73" s="159">
        <f>(+B19+B21+B22)/B70</f>
        <v>0.15350918250542508</v>
      </c>
      <c r="D73" s="159">
        <f>(+D19+D21+D22)/D70</f>
        <v>0.1619594735825948</v>
      </c>
      <c r="F73" s="159">
        <f>(+F19+F21+F22)/F70</f>
        <v>0.28451579245209618</v>
      </c>
      <c r="H73" s="159">
        <f>(+H19+H21+H22)/H70</f>
        <v>0.30539174058713742</v>
      </c>
      <c r="I73" s="20"/>
      <c r="J73" s="159">
        <f>(+J19+J21+J22+J24+J29-J18)/(J70-2873249)</f>
        <v>0.35610921540133639</v>
      </c>
      <c r="L73" s="160" t="s">
        <v>197</v>
      </c>
      <c r="M73" s="20"/>
      <c r="N73" s="160" t="s">
        <v>197</v>
      </c>
      <c r="O73" s="20"/>
      <c r="P73" s="160" t="s">
        <v>197</v>
      </c>
      <c r="R73" s="160" t="s">
        <v>197</v>
      </c>
      <c r="T73" s="160" t="s">
        <v>197</v>
      </c>
      <c r="V73" s="160" t="s">
        <v>197</v>
      </c>
      <c r="X73" s="160" t="s">
        <v>197</v>
      </c>
    </row>
    <row r="74" spans="1:24" x14ac:dyDescent="0.15">
      <c r="A74" s="13" t="s">
        <v>225</v>
      </c>
      <c r="B74" s="160" t="s">
        <v>197</v>
      </c>
      <c r="C74" s="53"/>
      <c r="D74" s="160" t="s">
        <v>197</v>
      </c>
      <c r="E74" s="53"/>
      <c r="F74" s="160" t="s">
        <v>197</v>
      </c>
      <c r="G74" s="53"/>
      <c r="H74" s="160" t="s">
        <v>197</v>
      </c>
      <c r="I74" s="53"/>
      <c r="J74" s="160" t="s">
        <v>197</v>
      </c>
      <c r="K74" s="104"/>
      <c r="L74" s="156">
        <f>(+L19+L22+L24+L29-L18)/L70</f>
        <v>0.51172288163020918</v>
      </c>
      <c r="M74" s="104"/>
      <c r="N74" s="156">
        <f>(+N19+N22+N24+N29-N18)/N70</f>
        <v>0.81850951660288673</v>
      </c>
      <c r="O74" s="104"/>
      <c r="P74" s="156">
        <f>(+P19+P22+P24+P29-P18)/P70</f>
        <v>0.90447904684115565</v>
      </c>
      <c r="Q74" s="157"/>
      <c r="R74" s="156">
        <f>(+R19+R22+R24+R29-R18)/R70</f>
        <v>0.69567010772989391</v>
      </c>
      <c r="S74" s="158"/>
      <c r="T74" s="156">
        <f>(+T19+T22+T24+T29-T18)/T70</f>
        <v>0.71643226819523698</v>
      </c>
      <c r="U74" s="158"/>
      <c r="V74" s="156">
        <f>(+V19+V22+V24+V29-V18)/V70</f>
        <v>0.75488708060977272</v>
      </c>
      <c r="W74" s="158"/>
      <c r="X74" s="156">
        <f>(+X19+X22+X24+X29-X18)/X70</f>
        <v>0.75618147012849224</v>
      </c>
    </row>
    <row r="75" spans="1:24" x14ac:dyDescent="0.15">
      <c r="A75" s="155" t="s">
        <v>285</v>
      </c>
      <c r="B75" s="282">
        <f>(+B14+B15+B21+B22)/B32</f>
        <v>0.14551889108132016</v>
      </c>
      <c r="C75" s="48"/>
      <c r="D75" s="282">
        <f>(+D14+D15+D21+D22)/D32</f>
        <v>0.29144499324177714</v>
      </c>
      <c r="E75" s="48"/>
      <c r="F75" s="282">
        <f>(+F14+F15+F21+F22)/F32</f>
        <v>0.6101053551729344</v>
      </c>
      <c r="G75" s="48"/>
      <c r="H75" s="282">
        <f>(+H14+H15+H21+H22)/H32</f>
        <v>1.8268919519348761</v>
      </c>
      <c r="I75" s="48"/>
      <c r="J75" s="282">
        <f>(+J14+J15+J21+J22)/J32</f>
        <v>0.17037441451723456</v>
      </c>
      <c r="K75" s="105"/>
      <c r="L75" s="282">
        <f>(+L14+L15+L21+L22)/L32</f>
        <v>0.28621328523416711</v>
      </c>
      <c r="M75" s="105"/>
      <c r="N75" s="282">
        <f>(+N14+N15+N21+N22)/N32</f>
        <v>0.37434335612260045</v>
      </c>
      <c r="O75" s="105"/>
      <c r="P75" s="282">
        <f>(+P14+P15+P21+P22)/P32</f>
        <v>0.35219691809669978</v>
      </c>
      <c r="Q75" s="105"/>
      <c r="R75" s="282">
        <f>(+R14+R15+R21+R22)/R32</f>
        <v>0.55467054592149401</v>
      </c>
      <c r="S75" s="48"/>
      <c r="T75" s="282">
        <f>(+T14+T15+T21+T22)/T32</f>
        <v>0.57179810831271483</v>
      </c>
      <c r="U75" s="48"/>
      <c r="V75" s="282">
        <f>(+V14+V15+V21+V22)/V32</f>
        <v>0.58791874977427627</v>
      </c>
      <c r="W75" s="48"/>
      <c r="X75" s="282">
        <f>(+X14+X15+X21+X22)/X32</f>
        <v>0.5942549889025428</v>
      </c>
    </row>
    <row r="76" spans="1:24" x14ac:dyDescent="0.15">
      <c r="A76" s="13" t="s">
        <v>286</v>
      </c>
      <c r="B76" s="283">
        <f>(B12+B13+B16+B29)/B32</f>
        <v>1.7619042132303749E-2</v>
      </c>
      <c r="C76" s="130"/>
      <c r="D76" s="283">
        <f>(D12+D13+D16+D29)/D32</f>
        <v>6.3598257762115126E-2</v>
      </c>
      <c r="E76" s="130"/>
      <c r="F76" s="283">
        <f>(F12+F13+F16+F29)/F32</f>
        <v>0.11570031049916037</v>
      </c>
      <c r="G76" s="56"/>
      <c r="H76" s="283">
        <f>(H12+H13+H16+H29)/H32</f>
        <v>0.25775987376935583</v>
      </c>
      <c r="I76" s="56"/>
      <c r="J76" s="283">
        <f>(J12+J13+J16+J29)/J32</f>
        <v>3.8544201323315382E-2</v>
      </c>
      <c r="K76" s="106"/>
      <c r="L76" s="283">
        <f>(L12+L13+L16+L29)/L32</f>
        <v>0.18636846097544896</v>
      </c>
      <c r="M76" s="106"/>
      <c r="N76" s="283">
        <f>(N12+N13+N16+N29)/N32</f>
        <v>0.34033989677017906</v>
      </c>
      <c r="O76" s="106"/>
      <c r="P76" s="283">
        <f>(P12+P13+P16+P29)/P32</f>
        <v>0.25589026409406057</v>
      </c>
      <c r="Q76" s="106"/>
      <c r="R76" s="283">
        <f>(R12+R13+R16+R29)/R32</f>
        <v>0.135001469602612</v>
      </c>
      <c r="S76" s="56"/>
      <c r="T76" s="283">
        <f>(T12+T13+T16+T29)/T32</f>
        <v>0.12830000492692026</v>
      </c>
      <c r="U76" s="56"/>
      <c r="V76" s="283">
        <f>(V12+V13+V16+V29)/V32</f>
        <v>0.12030781916398026</v>
      </c>
      <c r="W76" s="56"/>
      <c r="X76" s="283">
        <f>(X12+X13+X16+X29)/X32</f>
        <v>0.11550001148245728</v>
      </c>
    </row>
    <row r="77" spans="1:24" x14ac:dyDescent="0.15">
      <c r="A77" s="131"/>
      <c r="B77" s="130"/>
      <c r="C77" s="130"/>
      <c r="D77" s="130"/>
      <c r="E77" s="130"/>
      <c r="F77" s="130"/>
      <c r="G77" s="56"/>
      <c r="H77" s="56"/>
      <c r="I77" s="56"/>
      <c r="J77" s="56"/>
      <c r="K77" s="106"/>
      <c r="L77" s="56"/>
      <c r="M77" s="106"/>
      <c r="N77" s="56"/>
      <c r="O77" s="106"/>
      <c r="P77" s="56"/>
      <c r="Q77" s="106"/>
      <c r="R77" s="56"/>
      <c r="S77" s="56"/>
      <c r="T77" s="56"/>
      <c r="U77" s="56"/>
      <c r="V77" s="56"/>
      <c r="W77" s="56"/>
      <c r="X77" s="56"/>
    </row>
    <row r="78" spans="1:24" x14ac:dyDescent="0.15">
      <c r="A78" s="129"/>
      <c r="B78" s="130"/>
      <c r="C78" s="130"/>
      <c r="D78" s="132"/>
      <c r="E78" s="130"/>
      <c r="F78" s="130"/>
      <c r="G78" s="56"/>
      <c r="H78" s="56"/>
      <c r="I78" s="56"/>
      <c r="J78" s="56"/>
      <c r="K78" s="106"/>
      <c r="L78" s="56"/>
      <c r="M78" s="106"/>
      <c r="N78" s="56"/>
      <c r="O78" s="106"/>
      <c r="P78" s="56"/>
      <c r="Q78" s="106"/>
      <c r="R78" s="56"/>
      <c r="S78" s="56"/>
      <c r="T78" s="56"/>
      <c r="U78" s="56"/>
      <c r="V78" s="56"/>
      <c r="W78" s="56"/>
      <c r="X78" s="56"/>
    </row>
    <row r="79" spans="1:24" x14ac:dyDescent="0.15">
      <c r="A79" s="129"/>
      <c r="B79" s="130"/>
      <c r="C79" s="130"/>
      <c r="D79" s="132"/>
      <c r="E79" s="130"/>
      <c r="F79" s="130"/>
      <c r="G79" s="56"/>
      <c r="H79" s="56"/>
      <c r="I79" s="56"/>
      <c r="J79" s="56"/>
      <c r="K79" s="106"/>
      <c r="L79" s="56"/>
      <c r="M79" s="106"/>
      <c r="N79" s="56"/>
      <c r="O79" s="106"/>
      <c r="P79" s="56"/>
      <c r="Q79" s="106"/>
      <c r="R79" s="56"/>
      <c r="S79" s="56"/>
      <c r="T79" s="56"/>
      <c r="U79" s="56"/>
      <c r="V79" s="56"/>
      <c r="W79" s="56"/>
      <c r="X79" s="56"/>
    </row>
    <row r="80" spans="1:24" x14ac:dyDescent="0.15">
      <c r="A80" s="129"/>
      <c r="B80" s="130"/>
      <c r="C80" s="130"/>
      <c r="D80" s="132"/>
      <c r="E80" s="130"/>
      <c r="F80" s="130"/>
      <c r="G80" s="56"/>
      <c r="H80" s="56"/>
      <c r="I80" s="56"/>
      <c r="J80" s="56"/>
      <c r="K80" s="106"/>
      <c r="L80" s="56"/>
      <c r="M80" s="106"/>
      <c r="N80" s="56"/>
      <c r="O80" s="106"/>
      <c r="P80" s="56"/>
      <c r="Q80" s="106"/>
      <c r="R80" s="56"/>
      <c r="S80" s="56"/>
      <c r="T80" s="56"/>
      <c r="U80" s="56"/>
      <c r="V80" s="56"/>
      <c r="W80" s="56"/>
      <c r="X80" s="56"/>
    </row>
    <row r="81" spans="1:24" x14ac:dyDescent="0.15">
      <c r="A81" s="129"/>
      <c r="B81" s="130"/>
      <c r="C81" s="130"/>
      <c r="D81" s="132"/>
      <c r="E81" s="130"/>
      <c r="F81" s="130"/>
      <c r="G81" s="56"/>
      <c r="H81" s="56"/>
      <c r="I81" s="56"/>
      <c r="J81" s="56"/>
      <c r="L81" s="56"/>
      <c r="N81" s="56"/>
      <c r="P81" s="56"/>
      <c r="R81" s="56"/>
      <c r="S81" s="56"/>
      <c r="T81" s="56"/>
      <c r="U81" s="56"/>
      <c r="V81" s="56"/>
      <c r="W81" s="56"/>
      <c r="X81" s="56"/>
    </row>
    <row r="82" spans="1:24" x14ac:dyDescent="0.15">
      <c r="A82" s="129"/>
      <c r="B82" s="130"/>
      <c r="C82" s="130"/>
      <c r="D82" s="132"/>
      <c r="E82" s="130"/>
      <c r="F82" s="130"/>
      <c r="G82" s="56"/>
      <c r="H82" s="56"/>
      <c r="I82" s="56"/>
      <c r="J82" s="56"/>
      <c r="L82" s="56"/>
      <c r="N82" s="56"/>
      <c r="P82" s="56"/>
      <c r="R82" s="56"/>
      <c r="S82" s="56"/>
      <c r="T82" s="56"/>
      <c r="U82" s="56"/>
      <c r="V82" s="56"/>
      <c r="W82" s="56"/>
      <c r="X82" s="56"/>
    </row>
    <row r="83" spans="1:24" x14ac:dyDescent="0.15">
      <c r="A83" s="129"/>
      <c r="B83" s="130"/>
      <c r="C83" s="130"/>
      <c r="D83" s="132"/>
      <c r="E83" s="130"/>
      <c r="F83" s="130"/>
      <c r="G83" s="56"/>
      <c r="H83" s="56"/>
      <c r="I83" s="56"/>
      <c r="J83" s="56"/>
      <c r="L83" s="56"/>
      <c r="N83" s="56"/>
      <c r="P83" s="56"/>
      <c r="R83" s="56"/>
      <c r="S83" s="56"/>
      <c r="T83" s="56"/>
      <c r="U83" s="56"/>
      <c r="V83" s="56"/>
      <c r="W83" s="56"/>
      <c r="X83" s="56"/>
    </row>
    <row r="84" spans="1:24" x14ac:dyDescent="0.15">
      <c r="A84" s="129"/>
      <c r="B84" s="130"/>
      <c r="C84" s="130"/>
      <c r="D84" s="130"/>
      <c r="E84" s="130"/>
      <c r="F84" s="130"/>
      <c r="G84" s="56"/>
      <c r="H84" s="56"/>
      <c r="I84" s="56"/>
      <c r="J84" s="56"/>
      <c r="L84" s="56"/>
      <c r="N84" s="56"/>
      <c r="P84" s="56"/>
      <c r="R84" s="56"/>
      <c r="S84" s="56"/>
      <c r="T84" s="56"/>
      <c r="U84" s="56"/>
      <c r="V84" s="56"/>
      <c r="W84" s="56"/>
      <c r="X84" s="56"/>
    </row>
    <row r="85" spans="1:24" x14ac:dyDescent="0.15">
      <c r="A85" s="129"/>
      <c r="B85" s="130"/>
      <c r="C85" s="130"/>
      <c r="D85" s="130"/>
      <c r="E85" s="130"/>
      <c r="F85" s="130"/>
      <c r="G85" s="56"/>
      <c r="H85" s="56"/>
      <c r="I85" s="56"/>
      <c r="J85" s="56"/>
      <c r="L85" s="56"/>
      <c r="N85" s="56"/>
      <c r="P85" s="56"/>
      <c r="R85" s="56"/>
      <c r="S85" s="56"/>
      <c r="T85" s="56"/>
      <c r="U85" s="56"/>
      <c r="V85" s="56"/>
      <c r="W85" s="56"/>
      <c r="X85" s="56"/>
    </row>
    <row r="86" spans="1:24" x14ac:dyDescent="0.15">
      <c r="B86" s="56"/>
      <c r="C86" s="56"/>
      <c r="D86" s="56"/>
      <c r="E86" s="56"/>
      <c r="F86" s="56"/>
      <c r="G86" s="56"/>
      <c r="H86" s="56"/>
      <c r="I86" s="56"/>
      <c r="J86" s="56"/>
      <c r="L86" s="56"/>
      <c r="N86" s="56"/>
      <c r="P86" s="56"/>
      <c r="R86" s="56"/>
      <c r="S86" s="56"/>
      <c r="T86" s="56"/>
      <c r="U86" s="56"/>
      <c r="V86" s="56"/>
      <c r="W86" s="56"/>
      <c r="X86" s="56"/>
    </row>
    <row r="87" spans="1:24" x14ac:dyDescent="0.15">
      <c r="B87" s="56"/>
      <c r="C87" s="56"/>
      <c r="D87" s="56"/>
      <c r="E87" s="56"/>
      <c r="F87" s="56"/>
      <c r="G87" s="56"/>
      <c r="H87" s="56"/>
      <c r="I87" s="56"/>
      <c r="J87" s="56"/>
      <c r="L87" s="56"/>
      <c r="N87" s="56"/>
      <c r="P87" s="56"/>
      <c r="R87" s="56"/>
      <c r="S87" s="56"/>
      <c r="T87" s="56"/>
      <c r="U87" s="56"/>
      <c r="V87" s="56"/>
      <c r="W87" s="56"/>
      <c r="X87" s="56"/>
    </row>
    <row r="88" spans="1:24" x14ac:dyDescent="0.15">
      <c r="B88" s="56"/>
      <c r="C88" s="56"/>
      <c r="D88" s="56"/>
      <c r="E88" s="56"/>
      <c r="F88" s="56"/>
      <c r="G88" s="56"/>
      <c r="H88" s="56"/>
      <c r="I88" s="56"/>
      <c r="J88" s="56"/>
      <c r="L88" s="56"/>
      <c r="N88" s="56"/>
      <c r="P88" s="56"/>
      <c r="R88" s="56"/>
      <c r="S88" s="56"/>
      <c r="T88" s="56"/>
      <c r="U88" s="56"/>
      <c r="V88" s="56"/>
      <c r="W88" s="56"/>
      <c r="X88" s="56"/>
    </row>
    <row r="89" spans="1:24" x14ac:dyDescent="0.15">
      <c r="B89" s="56"/>
      <c r="C89" s="56"/>
      <c r="D89" s="56"/>
      <c r="E89" s="56"/>
      <c r="F89" s="56"/>
      <c r="G89" s="56"/>
      <c r="H89" s="56"/>
      <c r="I89" s="56"/>
      <c r="J89" s="56"/>
      <c r="L89" s="56"/>
      <c r="N89" s="56"/>
      <c r="P89" s="56"/>
      <c r="R89" s="56"/>
      <c r="S89" s="56"/>
      <c r="T89" s="56"/>
      <c r="U89" s="56"/>
      <c r="V89" s="56"/>
      <c r="W89" s="56"/>
      <c r="X89" s="56"/>
    </row>
    <row r="90" spans="1:24" x14ac:dyDescent="0.15">
      <c r="B90" s="56"/>
      <c r="C90" s="56"/>
      <c r="D90" s="56"/>
      <c r="E90" s="56"/>
      <c r="F90" s="56"/>
      <c r="G90" s="56"/>
      <c r="H90" s="56"/>
      <c r="I90" s="56"/>
      <c r="J90" s="56"/>
      <c r="L90" s="56"/>
      <c r="N90" s="56"/>
      <c r="P90" s="56"/>
      <c r="R90" s="56"/>
      <c r="T90" s="56"/>
      <c r="V90" s="56"/>
      <c r="X90" s="56"/>
    </row>
    <row r="91" spans="1:24" x14ac:dyDescent="0.15">
      <c r="B91" s="56"/>
      <c r="C91" s="56"/>
      <c r="D91" s="56"/>
      <c r="E91" s="56"/>
      <c r="F91" s="56"/>
      <c r="G91" s="56"/>
      <c r="H91" s="56"/>
      <c r="I91" s="56"/>
      <c r="J91" s="56"/>
      <c r="L91" s="56"/>
      <c r="N91" s="56"/>
      <c r="P91" s="56"/>
      <c r="R91" s="56"/>
      <c r="T91" s="56"/>
      <c r="V91" s="56"/>
      <c r="X91" s="56"/>
    </row>
  </sheetData>
  <printOptions horizontalCentered="1" verticalCentered="1"/>
  <pageMargins left="0" right="0.2" top="0.25" bottom="0.25" header="0.25" footer="0.05"/>
  <pageSetup scale="57" orientation="landscape" r:id="rId1"/>
  <ignoredErrors>
    <ignoredError sqref="Q5 E5 C5 B5 D5 F5:H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"/>
  <sheetViews>
    <sheetView workbookViewId="0"/>
  </sheetViews>
  <sheetFormatPr defaultRowHeight="10.5" x14ac:dyDescent="0.15"/>
  <cols>
    <col min="1" max="1" width="44" bestFit="1" customWidth="1"/>
    <col min="2" max="2" width="13.6640625" style="257" bestFit="1" customWidth="1"/>
    <col min="3" max="3" width="1.83203125" style="23" customWidth="1"/>
    <col min="4" max="4" width="11.5" style="257" bestFit="1" customWidth="1"/>
    <col min="5" max="5" width="1.83203125" style="23" customWidth="1"/>
    <col min="6" max="6" width="11.5" style="257" bestFit="1" customWidth="1"/>
    <col min="7" max="7" width="1.83203125" style="23" customWidth="1"/>
    <col min="8" max="8" width="12.5" bestFit="1" customWidth="1"/>
    <col min="9" max="9" width="1.83203125" style="23" customWidth="1"/>
    <col min="10" max="10" width="12.5" bestFit="1" customWidth="1"/>
    <col min="11" max="11" width="1.83203125" style="20" customWidth="1"/>
    <col min="12" max="12" width="13" style="257" bestFit="1" customWidth="1"/>
    <col min="13" max="13" width="1.83203125" style="20" customWidth="1"/>
    <col min="14" max="14" width="11.1640625" bestFit="1" customWidth="1"/>
    <col min="15" max="15" width="1.83203125" style="20" customWidth="1"/>
    <col min="16" max="16" width="13" style="20" bestFit="1" customWidth="1"/>
    <col min="17" max="17" width="1.83203125" style="20" customWidth="1"/>
    <col min="18" max="18" width="11.83203125" bestFit="1" customWidth="1"/>
    <col min="19" max="19" width="1.83203125" style="23" customWidth="1"/>
    <col min="20" max="20" width="10.83203125" bestFit="1" customWidth="1"/>
    <col min="21" max="21" width="1.83203125" style="23" customWidth="1"/>
    <col min="22" max="22" width="10.83203125" bestFit="1" customWidth="1"/>
    <col min="23" max="23" width="1.83203125" style="23" customWidth="1"/>
    <col min="24" max="24" width="10.83203125" bestFit="1" customWidth="1"/>
  </cols>
  <sheetData>
    <row r="1" spans="1:24" ht="15" x14ac:dyDescent="0.2">
      <c r="A1" s="16" t="s">
        <v>307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" x14ac:dyDescent="0.2">
      <c r="A2" s="16" t="s">
        <v>111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 x14ac:dyDescent="0.2">
      <c r="A3" s="1"/>
      <c r="B3" s="118"/>
      <c r="C3" s="118"/>
      <c r="D3" s="118"/>
      <c r="E3" s="118"/>
      <c r="F3" s="118"/>
      <c r="G3" s="118"/>
      <c r="H3" s="118"/>
      <c r="I3" s="118"/>
      <c r="J3" s="36"/>
      <c r="K3" s="36"/>
      <c r="L3" s="36"/>
      <c r="M3" s="36"/>
      <c r="N3" s="36"/>
      <c r="O3" s="36"/>
      <c r="P3" s="36"/>
      <c r="Q3" s="36"/>
      <c r="R3" s="36"/>
      <c r="S3" s="118"/>
      <c r="T3" s="36"/>
      <c r="U3" s="118"/>
      <c r="V3" s="36"/>
      <c r="W3" s="118"/>
      <c r="X3" s="36"/>
    </row>
    <row r="4" spans="1:24" ht="15" x14ac:dyDescent="0.2">
      <c r="A4" s="1"/>
      <c r="B4" s="37" t="s">
        <v>113</v>
      </c>
      <c r="C4" s="38"/>
      <c r="D4" s="38"/>
      <c r="E4" s="38"/>
      <c r="F4" s="39"/>
      <c r="G4" s="38"/>
      <c r="H4" s="38"/>
      <c r="I4" s="38"/>
      <c r="J4" s="183"/>
      <c r="K4" s="40"/>
      <c r="L4" s="264" t="s">
        <v>113</v>
      </c>
      <c r="M4" s="40"/>
      <c r="N4" s="113" t="s">
        <v>147</v>
      </c>
      <c r="O4" s="40"/>
      <c r="P4" s="284" t="s">
        <v>209</v>
      </c>
      <c r="Q4" s="40"/>
      <c r="R4" s="41" t="s">
        <v>148</v>
      </c>
      <c r="S4" s="38"/>
      <c r="T4" s="41"/>
      <c r="U4" s="38"/>
      <c r="V4" s="41"/>
      <c r="W4" s="38"/>
      <c r="X4" s="41"/>
    </row>
    <row r="5" spans="1:24" ht="12.75" x14ac:dyDescent="0.2">
      <c r="A5" s="184" t="s">
        <v>267</v>
      </c>
      <c r="B5" s="271" t="s">
        <v>114</v>
      </c>
      <c r="C5" s="119"/>
      <c r="D5" s="43" t="s">
        <v>91</v>
      </c>
      <c r="E5" s="119"/>
      <c r="F5" s="42" t="s">
        <v>90</v>
      </c>
      <c r="G5" s="119"/>
      <c r="H5" s="42" t="s">
        <v>115</v>
      </c>
      <c r="I5" s="119"/>
      <c r="J5" s="18">
        <v>2017</v>
      </c>
      <c r="K5" s="44"/>
      <c r="L5" s="265" t="s">
        <v>117</v>
      </c>
      <c r="M5" s="44"/>
      <c r="N5" s="18">
        <v>2019</v>
      </c>
      <c r="O5" s="44"/>
      <c r="P5" s="18">
        <v>2019</v>
      </c>
      <c r="Q5" s="44"/>
      <c r="R5" s="18">
        <v>2020</v>
      </c>
      <c r="S5" s="119"/>
      <c r="T5" s="18">
        <v>2021</v>
      </c>
      <c r="U5" s="119"/>
      <c r="V5" s="18">
        <v>2022</v>
      </c>
      <c r="W5" s="119"/>
      <c r="X5" s="203">
        <v>2023</v>
      </c>
    </row>
    <row r="6" spans="1:24" x14ac:dyDescent="0.15">
      <c r="A6" s="253" t="s">
        <v>268</v>
      </c>
      <c r="B6" s="272">
        <v>39338.94</v>
      </c>
      <c r="C6" s="47"/>
      <c r="D6" s="255">
        <v>32176.66</v>
      </c>
      <c r="E6" s="47"/>
      <c r="F6" s="255">
        <v>32906.67</v>
      </c>
      <c r="G6" s="47"/>
      <c r="H6" s="93">
        <v>29729.02</v>
      </c>
      <c r="I6" s="262"/>
      <c r="J6" s="93">
        <v>46424.45</v>
      </c>
      <c r="K6" s="40"/>
      <c r="L6" s="255">
        <v>56252.44</v>
      </c>
      <c r="M6" s="40"/>
      <c r="N6" s="254">
        <v>35000</v>
      </c>
      <c r="O6" s="40"/>
      <c r="P6" s="254">
        <v>42000</v>
      </c>
      <c r="Q6" s="40"/>
      <c r="R6" s="254">
        <v>37000</v>
      </c>
      <c r="S6" s="47"/>
      <c r="T6" s="254">
        <v>37000</v>
      </c>
      <c r="U6" s="47"/>
      <c r="V6" s="254">
        <v>37000</v>
      </c>
      <c r="W6" s="47"/>
      <c r="X6" s="269">
        <v>37000</v>
      </c>
    </row>
    <row r="7" spans="1:24" x14ac:dyDescent="0.15">
      <c r="A7" s="253" t="s">
        <v>269</v>
      </c>
      <c r="B7" s="272">
        <v>4413.46</v>
      </c>
      <c r="C7" s="52"/>
      <c r="D7" s="255">
        <v>6889.42</v>
      </c>
      <c r="E7" s="52"/>
      <c r="F7" s="255">
        <v>5002.92</v>
      </c>
      <c r="G7" s="52"/>
      <c r="H7" s="93">
        <v>5313.55</v>
      </c>
      <c r="I7" s="58"/>
      <c r="J7" s="93">
        <v>17861.34</v>
      </c>
      <c r="K7" s="40"/>
      <c r="L7" s="255">
        <v>30750</v>
      </c>
      <c r="M7" s="40"/>
      <c r="N7" s="254">
        <v>10000</v>
      </c>
      <c r="O7" s="40"/>
      <c r="P7" s="254">
        <f>40444+(2040*6)</f>
        <v>52684</v>
      </c>
      <c r="Q7" s="40"/>
      <c r="R7" s="254">
        <v>20000</v>
      </c>
      <c r="S7" s="52"/>
      <c r="T7" s="254">
        <v>20000</v>
      </c>
      <c r="U7" s="52"/>
      <c r="V7" s="254">
        <v>20000</v>
      </c>
      <c r="W7" s="52"/>
      <c r="X7" s="269">
        <v>20000</v>
      </c>
    </row>
    <row r="8" spans="1:24" x14ac:dyDescent="0.15">
      <c r="A8" s="253" t="s">
        <v>270</v>
      </c>
      <c r="B8" s="272">
        <v>3654.13</v>
      </c>
      <c r="C8" s="58"/>
      <c r="D8" s="255">
        <v>4793.2299999999996</v>
      </c>
      <c r="E8" s="58"/>
      <c r="F8" s="255">
        <v>6336.43</v>
      </c>
      <c r="G8" s="58"/>
      <c r="H8" s="93">
        <v>9119.64</v>
      </c>
      <c r="I8" s="58"/>
      <c r="J8" s="93">
        <v>12183.98</v>
      </c>
      <c r="K8" s="40"/>
      <c r="L8" s="255">
        <v>13873.98</v>
      </c>
      <c r="M8" s="40"/>
      <c r="N8" s="254">
        <v>15000</v>
      </c>
      <c r="O8" s="40"/>
      <c r="P8" s="254">
        <f>6107+(421*6)</f>
        <v>8633</v>
      </c>
      <c r="Q8" s="40"/>
      <c r="R8" s="254">
        <v>15000</v>
      </c>
      <c r="S8" s="58"/>
      <c r="T8" s="254">
        <v>15000</v>
      </c>
      <c r="U8" s="58"/>
      <c r="V8" s="254">
        <v>15000</v>
      </c>
      <c r="W8" s="58"/>
      <c r="X8" s="269">
        <v>15000</v>
      </c>
    </row>
    <row r="9" spans="1:24" x14ac:dyDescent="0.15">
      <c r="A9" s="253" t="s">
        <v>271</v>
      </c>
      <c r="B9" s="273">
        <v>6010.99</v>
      </c>
      <c r="C9" s="58"/>
      <c r="D9" s="255">
        <v>12347.66</v>
      </c>
      <c r="E9" s="58"/>
      <c r="F9" s="255">
        <v>19278.560000000001</v>
      </c>
      <c r="G9" s="58"/>
      <c r="H9" s="93">
        <v>13828.43</v>
      </c>
      <c r="I9" s="58"/>
      <c r="J9" s="93">
        <v>22214.48</v>
      </c>
      <c r="K9" s="40"/>
      <c r="L9" s="255">
        <v>21908.61</v>
      </c>
      <c r="M9" s="40"/>
      <c r="N9" s="254">
        <v>24000</v>
      </c>
      <c r="O9" s="40"/>
      <c r="P9" s="254">
        <f>25100+(2410*6)</f>
        <v>39560</v>
      </c>
      <c r="Q9" s="40"/>
      <c r="R9" s="254">
        <v>30000</v>
      </c>
      <c r="S9" s="58"/>
      <c r="T9" s="254">
        <v>30000</v>
      </c>
      <c r="U9" s="58"/>
      <c r="V9" s="254">
        <v>30000</v>
      </c>
      <c r="W9" s="58"/>
      <c r="X9" s="269">
        <v>30000</v>
      </c>
    </row>
    <row r="10" spans="1:24" x14ac:dyDescent="0.15">
      <c r="A10" s="253" t="s">
        <v>272</v>
      </c>
      <c r="B10" s="273">
        <v>950</v>
      </c>
      <c r="C10" s="58"/>
      <c r="D10" s="255">
        <v>3075</v>
      </c>
      <c r="E10" s="58"/>
      <c r="F10" s="255">
        <v>7175</v>
      </c>
      <c r="G10" s="58"/>
      <c r="H10" s="93">
        <v>6223.14</v>
      </c>
      <c r="I10" s="58"/>
      <c r="J10" s="93">
        <v>8808.6</v>
      </c>
      <c r="K10" s="40"/>
      <c r="L10" s="255">
        <v>17598.23</v>
      </c>
      <c r="M10" s="40"/>
      <c r="N10" s="254">
        <f>+'Donations and Events'!G48</f>
        <v>21250</v>
      </c>
      <c r="O10" s="40"/>
      <c r="P10" s="254">
        <v>21250</v>
      </c>
      <c r="Q10" s="40"/>
      <c r="R10" s="254">
        <f>+'Donations and Events'!I48</f>
        <v>21525</v>
      </c>
      <c r="S10" s="58"/>
      <c r="T10" s="254">
        <f>+'Donations and Events'!K48</f>
        <v>21300</v>
      </c>
      <c r="U10" s="58"/>
      <c r="V10" s="254">
        <f>+'Donations and Events'!M48</f>
        <v>21575</v>
      </c>
      <c r="W10" s="58"/>
      <c r="X10" s="269">
        <f>+'Donations and Events'!O48</f>
        <v>21300</v>
      </c>
    </row>
    <row r="11" spans="1:24" x14ac:dyDescent="0.15">
      <c r="A11" s="253" t="s">
        <v>273</v>
      </c>
      <c r="B11" s="273">
        <v>8062.45</v>
      </c>
      <c r="C11" s="58"/>
      <c r="D11" s="255">
        <v>9186.4599999999991</v>
      </c>
      <c r="E11" s="58"/>
      <c r="F11" s="255">
        <v>11297.1</v>
      </c>
      <c r="G11" s="58"/>
      <c r="H11" s="93">
        <v>16430.64</v>
      </c>
      <c r="I11" s="58"/>
      <c r="J11" s="93">
        <v>22041.66</v>
      </c>
      <c r="K11" s="40"/>
      <c r="L11" s="255">
        <v>22614.37</v>
      </c>
      <c r="M11" s="40"/>
      <c r="N11" s="254">
        <v>17000</v>
      </c>
      <c r="O11" s="40"/>
      <c r="P11" s="254">
        <f>10037+((1320*6))</f>
        <v>17957</v>
      </c>
      <c r="Q11" s="40"/>
      <c r="R11" s="254">
        <v>18000</v>
      </c>
      <c r="S11" s="58"/>
      <c r="T11" s="254">
        <v>18000</v>
      </c>
      <c r="U11" s="58"/>
      <c r="V11" s="254">
        <v>18000</v>
      </c>
      <c r="W11" s="58"/>
      <c r="X11" s="269">
        <v>18000</v>
      </c>
    </row>
    <row r="12" spans="1:24" x14ac:dyDescent="0.15">
      <c r="A12" s="253" t="s">
        <v>274</v>
      </c>
      <c r="B12" s="273">
        <v>4726.97</v>
      </c>
      <c r="C12" s="58"/>
      <c r="D12" s="255">
        <v>10629.8</v>
      </c>
      <c r="E12" s="58"/>
      <c r="F12" s="255">
        <v>10805.74</v>
      </c>
      <c r="G12" s="58"/>
      <c r="H12" s="93">
        <v>4834.8900000000003</v>
      </c>
      <c r="I12" s="58"/>
      <c r="J12" s="93">
        <v>7403.71</v>
      </c>
      <c r="K12" s="40"/>
      <c r="L12" s="255">
        <v>6052</v>
      </c>
      <c r="M12" s="40"/>
      <c r="N12" s="254">
        <v>6000</v>
      </c>
      <c r="O12" s="40"/>
      <c r="P12" s="254">
        <f>6000+2000</f>
        <v>8000</v>
      </c>
      <c r="Q12" s="40"/>
      <c r="R12" s="254">
        <v>8000</v>
      </c>
      <c r="S12" s="58"/>
      <c r="T12" s="254">
        <v>8000</v>
      </c>
      <c r="U12" s="58"/>
      <c r="V12" s="254">
        <v>8000</v>
      </c>
      <c r="W12" s="58"/>
      <c r="X12" s="269">
        <v>8000</v>
      </c>
    </row>
    <row r="13" spans="1:24" x14ac:dyDescent="0.15">
      <c r="A13" s="253" t="s">
        <v>275</v>
      </c>
      <c r="B13" s="273">
        <v>12064.36</v>
      </c>
      <c r="C13" s="58"/>
      <c r="D13" s="255">
        <v>1716.72</v>
      </c>
      <c r="E13" s="58"/>
      <c r="F13" s="255">
        <v>4825.54</v>
      </c>
      <c r="G13" s="58"/>
      <c r="H13" s="93">
        <v>5117.9799999999996</v>
      </c>
      <c r="I13" s="58"/>
      <c r="J13" s="93">
        <v>12718.89</v>
      </c>
      <c r="K13" s="40"/>
      <c r="L13" s="255">
        <v>6915.64</v>
      </c>
      <c r="M13" s="40"/>
      <c r="N13" s="254">
        <v>6100</v>
      </c>
      <c r="O13" s="40"/>
      <c r="P13" s="254">
        <v>6000</v>
      </c>
      <c r="Q13" s="40"/>
      <c r="R13" s="254">
        <v>6100</v>
      </c>
      <c r="S13" s="58"/>
      <c r="T13" s="254">
        <v>6100</v>
      </c>
      <c r="U13" s="58"/>
      <c r="V13" s="254">
        <v>6100</v>
      </c>
      <c r="W13" s="58"/>
      <c r="X13" s="269">
        <v>6100</v>
      </c>
    </row>
    <row r="14" spans="1:24" x14ac:dyDescent="0.15">
      <c r="A14" s="253" t="s">
        <v>276</v>
      </c>
      <c r="B14" s="272">
        <v>10760.39</v>
      </c>
      <c r="C14" s="58"/>
      <c r="D14" s="255">
        <v>13956.98</v>
      </c>
      <c r="E14" s="58"/>
      <c r="F14" s="255">
        <v>14122.56</v>
      </c>
      <c r="G14" s="58"/>
      <c r="H14" s="93">
        <v>20573.3</v>
      </c>
      <c r="I14" s="58"/>
      <c r="J14" s="93">
        <v>29689.200000000001</v>
      </c>
      <c r="K14" s="40"/>
      <c r="L14" s="255">
        <v>33339.410000000003</v>
      </c>
      <c r="M14" s="40"/>
      <c r="N14" s="254">
        <v>30000</v>
      </c>
      <c r="O14" s="40"/>
      <c r="P14" s="254">
        <f>16200+(700*6)</f>
        <v>20400</v>
      </c>
      <c r="Q14" s="40"/>
      <c r="R14" s="254">
        <v>25000</v>
      </c>
      <c r="S14" s="58"/>
      <c r="T14" s="254">
        <v>25000</v>
      </c>
      <c r="U14" s="58"/>
      <c r="V14" s="254">
        <v>25000</v>
      </c>
      <c r="W14" s="58"/>
      <c r="X14" s="269">
        <v>25000</v>
      </c>
    </row>
    <row r="15" spans="1:24" x14ac:dyDescent="0.15">
      <c r="A15" s="253" t="s">
        <v>277</v>
      </c>
      <c r="B15" s="272">
        <v>9496.5</v>
      </c>
      <c r="C15" s="58"/>
      <c r="D15" s="255">
        <v>11358.21</v>
      </c>
      <c r="E15" s="58"/>
      <c r="F15" s="255">
        <v>2515.6</v>
      </c>
      <c r="G15" s="58"/>
      <c r="H15" s="93">
        <v>3347.39</v>
      </c>
      <c r="I15" s="58"/>
      <c r="J15" s="93">
        <v>1514</v>
      </c>
      <c r="K15" s="40"/>
      <c r="L15" s="255">
        <v>6382.69</v>
      </c>
      <c r="M15" s="40"/>
      <c r="N15" s="254">
        <v>6000</v>
      </c>
      <c r="O15" s="40"/>
      <c r="P15" s="254">
        <f>2800+(100*6)</f>
        <v>3400</v>
      </c>
      <c r="Q15" s="40"/>
      <c r="R15" s="254">
        <v>6000</v>
      </c>
      <c r="S15" s="58"/>
      <c r="T15" s="254">
        <v>6000</v>
      </c>
      <c r="U15" s="58"/>
      <c r="V15" s="254">
        <v>6000</v>
      </c>
      <c r="W15" s="58"/>
      <c r="X15" s="269">
        <v>6000</v>
      </c>
    </row>
    <row r="16" spans="1:24" x14ac:dyDescent="0.15">
      <c r="A16" s="253" t="s">
        <v>278</v>
      </c>
      <c r="B16" s="272">
        <v>3929.96</v>
      </c>
      <c r="C16" s="58"/>
      <c r="D16" s="255">
        <v>8494.94</v>
      </c>
      <c r="E16" s="58"/>
      <c r="F16" s="255">
        <v>6721.76</v>
      </c>
      <c r="G16" s="58"/>
      <c r="H16" s="93">
        <v>9175</v>
      </c>
      <c r="I16" s="58"/>
      <c r="J16" s="93">
        <v>9250</v>
      </c>
      <c r="K16" s="40"/>
      <c r="L16" s="255">
        <v>14838.87</v>
      </c>
      <c r="M16" s="40"/>
      <c r="N16" s="254">
        <v>10000</v>
      </c>
      <c r="O16" s="40"/>
      <c r="P16" s="254">
        <v>8000</v>
      </c>
      <c r="Q16" s="40"/>
      <c r="R16" s="254">
        <v>10000</v>
      </c>
      <c r="S16" s="58"/>
      <c r="T16" s="254">
        <v>10000</v>
      </c>
      <c r="U16" s="58"/>
      <c r="V16" s="254">
        <v>10000</v>
      </c>
      <c r="W16" s="58"/>
      <c r="X16" s="269">
        <v>10000</v>
      </c>
    </row>
    <row r="17" spans="1:24" x14ac:dyDescent="0.15">
      <c r="B17" s="274"/>
      <c r="C17" s="58"/>
      <c r="D17" s="258"/>
      <c r="E17" s="58"/>
      <c r="F17" s="259"/>
      <c r="G17" s="58"/>
      <c r="H17" s="263"/>
      <c r="I17" s="58"/>
      <c r="J17" s="263"/>
      <c r="K17" s="40"/>
      <c r="L17" s="259"/>
      <c r="M17" s="40"/>
      <c r="N17" s="252"/>
      <c r="O17" s="40"/>
      <c r="P17" s="128"/>
      <c r="Q17" s="40"/>
      <c r="R17" s="128"/>
      <c r="S17" s="58"/>
      <c r="T17" s="128"/>
      <c r="U17" s="58"/>
      <c r="V17" s="128"/>
      <c r="W17" s="58"/>
      <c r="X17" s="270"/>
    </row>
    <row r="18" spans="1:24" s="20" customFormat="1" ht="12.75" customHeight="1" x14ac:dyDescent="0.15">
      <c r="A18" s="251" t="s">
        <v>266</v>
      </c>
      <c r="B18" s="70">
        <f>SUM(B6:B17)</f>
        <v>103408.15</v>
      </c>
      <c r="C18" s="58"/>
      <c r="D18" s="256">
        <f>SUM(D6:D17)</f>
        <v>114625.07999999999</v>
      </c>
      <c r="E18" s="58"/>
      <c r="F18" s="256">
        <f>SUM(F6:F17)</f>
        <v>120987.88</v>
      </c>
      <c r="G18" s="58"/>
      <c r="H18" s="70">
        <f>SUM(H6:H17)</f>
        <v>123692.98</v>
      </c>
      <c r="I18" s="58"/>
      <c r="J18" s="70">
        <f>SUM(J6:J17)</f>
        <v>190110.31</v>
      </c>
      <c r="K18" s="61"/>
      <c r="L18" s="256">
        <f>SUM(L6:L17)</f>
        <v>230526.24000000002</v>
      </c>
      <c r="M18" s="61"/>
      <c r="N18" s="70">
        <f>SUM(N6:N17)</f>
        <v>180350</v>
      </c>
      <c r="O18" s="61"/>
      <c r="P18" s="70">
        <f>SUM(P6:P17)</f>
        <v>227884</v>
      </c>
      <c r="Q18" s="61"/>
      <c r="R18" s="70">
        <f>SUM(R6:R17)</f>
        <v>196625</v>
      </c>
      <c r="S18" s="84"/>
      <c r="T18" s="70">
        <f>SUM(T6:T17)</f>
        <v>196400</v>
      </c>
      <c r="U18" s="84"/>
      <c r="V18" s="70">
        <f>SUM(V6:V17)</f>
        <v>196675</v>
      </c>
      <c r="W18" s="58"/>
      <c r="X18" s="70">
        <f>SUM(X6:X17)</f>
        <v>196400</v>
      </c>
    </row>
    <row r="19" spans="1:24" x14ac:dyDescent="0.15">
      <c r="H19" s="260"/>
      <c r="I19" s="261"/>
      <c r="J19" s="260"/>
    </row>
  </sheetData>
  <pageMargins left="0.7" right="0.7" top="0.75" bottom="0.75" header="0.3" footer="0.3"/>
  <pageSetup orientation="portrait" r:id="rId1"/>
  <ignoredErrors>
    <ignoredError sqref="R18:X18 J18:O18" formulaRange="1"/>
    <ignoredError sqref="B5:H5 L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112"/>
  <sheetViews>
    <sheetView workbookViewId="0"/>
  </sheetViews>
  <sheetFormatPr defaultRowHeight="10.5" x14ac:dyDescent="0.15"/>
  <cols>
    <col min="1" max="1" width="27" bestFit="1" customWidth="1"/>
    <col min="2" max="2" width="2.83203125" style="20" customWidth="1"/>
    <col min="3" max="3" width="14.6640625" style="20" bestFit="1" customWidth="1"/>
    <col min="4" max="4" width="2.83203125" style="20" customWidth="1"/>
    <col min="5" max="5" width="14.6640625" bestFit="1" customWidth="1"/>
    <col min="6" max="6" width="2.83203125" customWidth="1"/>
    <col min="7" max="7" width="13" bestFit="1" customWidth="1"/>
    <col min="8" max="8" width="2.83203125" style="20" customWidth="1"/>
    <col min="9" max="9" width="12.83203125" bestFit="1" customWidth="1"/>
    <col min="10" max="10" width="2.83203125" style="20" customWidth="1"/>
    <col min="11" max="11" width="12.83203125" bestFit="1" customWidth="1"/>
    <col min="12" max="12" width="2.83203125" style="20" customWidth="1"/>
    <col min="13" max="13" width="11.83203125" bestFit="1" customWidth="1"/>
    <col min="14" max="14" width="2.83203125" style="20" customWidth="1"/>
    <col min="15" max="15" width="11.83203125" bestFit="1" customWidth="1"/>
  </cols>
  <sheetData>
    <row r="1" spans="1:15" ht="15" x14ac:dyDescent="0.2">
      <c r="A1" s="16" t="s">
        <v>307</v>
      </c>
      <c r="B1" s="36"/>
      <c r="C1" s="36"/>
      <c r="D1" s="36"/>
      <c r="E1" s="36"/>
      <c r="F1" s="36"/>
      <c r="G1" s="36"/>
      <c r="H1" s="19"/>
      <c r="I1" s="36"/>
      <c r="J1" s="19"/>
      <c r="K1" s="36"/>
      <c r="L1" s="19"/>
      <c r="M1" s="36"/>
      <c r="N1" s="19"/>
      <c r="O1" s="36"/>
    </row>
    <row r="2" spans="1:15" ht="15" x14ac:dyDescent="0.2">
      <c r="A2" s="16" t="s">
        <v>207</v>
      </c>
      <c r="B2" s="36"/>
      <c r="C2" s="36"/>
      <c r="D2" s="36"/>
      <c r="E2" s="36"/>
      <c r="F2" s="36"/>
      <c r="G2" s="36"/>
      <c r="H2" s="19"/>
      <c r="I2" s="36"/>
      <c r="J2" s="19"/>
      <c r="K2" s="36"/>
      <c r="L2" s="19"/>
      <c r="M2" s="36"/>
      <c r="N2" s="19"/>
      <c r="O2" s="36"/>
    </row>
    <row r="3" spans="1:15" ht="15" x14ac:dyDescent="0.2">
      <c r="B3" s="89"/>
      <c r="C3" s="36"/>
      <c r="D3" s="89"/>
      <c r="E3" s="36"/>
      <c r="F3" s="36"/>
      <c r="G3" s="36"/>
      <c r="I3" s="36"/>
      <c r="K3" s="36"/>
      <c r="M3" s="36"/>
      <c r="O3" s="36"/>
    </row>
    <row r="4" spans="1:15" ht="15" x14ac:dyDescent="0.2">
      <c r="A4" s="1"/>
      <c r="B4" s="186"/>
      <c r="C4" s="185" t="s">
        <v>113</v>
      </c>
      <c r="D4" s="186"/>
      <c r="E4" s="185" t="s">
        <v>113</v>
      </c>
      <c r="F4" s="186"/>
      <c r="G4" s="201" t="s">
        <v>209</v>
      </c>
      <c r="I4" s="37" t="s">
        <v>148</v>
      </c>
      <c r="J4" s="38"/>
      <c r="K4" s="190"/>
      <c r="L4" s="38"/>
      <c r="M4" s="190"/>
      <c r="N4" s="38"/>
      <c r="O4" s="145"/>
    </row>
    <row r="5" spans="1:15" ht="25.5" customHeight="1" x14ac:dyDescent="0.2">
      <c r="A5" s="184" t="s">
        <v>0</v>
      </c>
      <c r="B5" s="186"/>
      <c r="C5" s="202">
        <v>2017</v>
      </c>
      <c r="D5" s="186"/>
      <c r="E5" s="202">
        <v>2018</v>
      </c>
      <c r="F5" s="186"/>
      <c r="G5" s="203">
        <v>2019</v>
      </c>
      <c r="H5" s="187"/>
      <c r="I5" s="196">
        <v>2020</v>
      </c>
      <c r="J5" s="188"/>
      <c r="K5" s="18">
        <v>2021</v>
      </c>
      <c r="L5" s="188"/>
      <c r="M5" s="18">
        <v>2022</v>
      </c>
      <c r="N5" s="188"/>
      <c r="O5" s="189">
        <v>2023</v>
      </c>
    </row>
    <row r="6" spans="1:15" ht="12" customHeight="1" x14ac:dyDescent="0.15">
      <c r="A6" t="s">
        <v>308</v>
      </c>
      <c r="B6" s="106"/>
      <c r="C6" s="8"/>
      <c r="D6" s="106"/>
      <c r="E6" s="8"/>
      <c r="F6" s="106"/>
    </row>
    <row r="7" spans="1:15" ht="12" customHeight="1" x14ac:dyDescent="0.15">
      <c r="A7" s="109" t="s">
        <v>208</v>
      </c>
      <c r="B7" s="106"/>
      <c r="C7" s="8"/>
      <c r="D7" s="106"/>
      <c r="E7" s="8"/>
      <c r="F7" s="106"/>
    </row>
    <row r="8" spans="1:15" ht="12" customHeight="1" x14ac:dyDescent="0.15">
      <c r="A8" s="191" t="s">
        <v>210</v>
      </c>
      <c r="B8" s="106"/>
      <c r="C8" s="161">
        <f>(15550397+16005309)/2</f>
        <v>15777853</v>
      </c>
      <c r="D8" s="106"/>
      <c r="E8" s="161">
        <v>16228050</v>
      </c>
      <c r="F8" s="193"/>
      <c r="G8" s="161">
        <v>19000000</v>
      </c>
      <c r="H8" s="101"/>
      <c r="I8" s="161">
        <f>19000000+(3500000-1500000)</f>
        <v>21000000</v>
      </c>
      <c r="J8" s="101"/>
      <c r="K8" s="161">
        <f>21000000+(3500000-2000000)</f>
        <v>22500000</v>
      </c>
      <c r="L8" s="101"/>
      <c r="M8" s="161">
        <f>22500000+(3500000-2500000)</f>
        <v>23500000</v>
      </c>
      <c r="N8" s="101"/>
      <c r="O8" s="161">
        <f>23500000+(3500000-3000000)</f>
        <v>24000000</v>
      </c>
    </row>
    <row r="9" spans="1:15" s="20" customFormat="1" ht="12" customHeight="1" x14ac:dyDescent="0.15">
      <c r="A9" s="191" t="s">
        <v>211</v>
      </c>
      <c r="B9" s="106"/>
      <c r="C9" s="142">
        <f>+C10/C8</f>
        <v>5.5141127883495934E-2</v>
      </c>
      <c r="D9" s="106"/>
      <c r="E9" s="142">
        <v>5.4899999999999997E-2</v>
      </c>
      <c r="F9" s="106"/>
      <c r="G9" s="108">
        <v>5.7500000000000002E-2</v>
      </c>
      <c r="I9" s="108">
        <v>0.06</v>
      </c>
      <c r="K9" s="108">
        <v>0.06</v>
      </c>
      <c r="M9" s="108">
        <v>6.25E-2</v>
      </c>
      <c r="O9" s="108">
        <v>6.25E-2</v>
      </c>
    </row>
    <row r="10" spans="1:15" s="20" customFormat="1" ht="12" customHeight="1" x14ac:dyDescent="0.15">
      <c r="A10" s="192" t="s">
        <v>212</v>
      </c>
      <c r="B10" s="106"/>
      <c r="C10" s="93">
        <v>870008.61</v>
      </c>
      <c r="D10" s="106"/>
      <c r="E10" s="93">
        <f>E8*E9</f>
        <v>890919.94499999995</v>
      </c>
      <c r="F10" s="106"/>
      <c r="G10" s="93">
        <f>G8*G9</f>
        <v>1092500</v>
      </c>
      <c r="I10" s="93">
        <f>I8*I9</f>
        <v>1260000</v>
      </c>
      <c r="K10" s="93">
        <f>K8*K9</f>
        <v>1350000</v>
      </c>
      <c r="M10" s="93">
        <f>M8*M9</f>
        <v>1468750</v>
      </c>
      <c r="O10" s="93">
        <f>O8*O9</f>
        <v>1500000</v>
      </c>
    </row>
    <row r="11" spans="1:15" s="20" customFormat="1" ht="12" customHeight="1" x14ac:dyDescent="0.15">
      <c r="A11" s="191"/>
      <c r="B11" s="106"/>
      <c r="D11" s="106"/>
      <c r="F11" s="106"/>
    </row>
    <row r="12" spans="1:15" s="20" customFormat="1" ht="12" customHeight="1" x14ac:dyDescent="0.15">
      <c r="A12" s="109" t="s">
        <v>309</v>
      </c>
      <c r="B12" s="106"/>
      <c r="D12" s="106"/>
      <c r="F12" s="106"/>
    </row>
    <row r="13" spans="1:15" s="20" customFormat="1" ht="12" customHeight="1" x14ac:dyDescent="0.15">
      <c r="A13" s="191" t="s">
        <v>210</v>
      </c>
      <c r="B13" s="106"/>
      <c r="C13" s="161">
        <f>(230455+576418)/2</f>
        <v>403436.5</v>
      </c>
      <c r="D13" s="106"/>
      <c r="E13" s="161">
        <v>640000</v>
      </c>
      <c r="F13" s="193"/>
      <c r="G13" s="161">
        <v>1000000</v>
      </c>
      <c r="H13" s="11"/>
      <c r="I13" s="161">
        <f>1000000-20000</f>
        <v>980000</v>
      </c>
      <c r="J13" s="11"/>
      <c r="K13" s="161">
        <f>+I13-20000</f>
        <v>960000</v>
      </c>
      <c r="L13" s="11"/>
      <c r="M13" s="161">
        <f>+K13-20000</f>
        <v>940000</v>
      </c>
      <c r="N13" s="11"/>
      <c r="O13" s="161">
        <f>+M13-20000</f>
        <v>920000</v>
      </c>
    </row>
    <row r="14" spans="1:15" s="20" customFormat="1" ht="12" customHeight="1" x14ac:dyDescent="0.15">
      <c r="A14" s="191" t="s">
        <v>211</v>
      </c>
      <c r="B14" s="106"/>
      <c r="C14" s="142">
        <f>+C15/C13</f>
        <v>6.4730856033105577E-2</v>
      </c>
      <c r="D14" s="106"/>
      <c r="E14" s="142">
        <v>6.2E-2</v>
      </c>
      <c r="F14" s="106"/>
      <c r="G14" s="108">
        <v>6.5000000000000002E-2</v>
      </c>
      <c r="I14" s="108">
        <v>6.7500000000000004E-2</v>
      </c>
      <c r="K14" s="108">
        <v>6.7500000000000004E-2</v>
      </c>
      <c r="M14" s="108">
        <v>7.0000000000000007E-2</v>
      </c>
      <c r="O14" s="108">
        <v>7.0000000000000007E-2</v>
      </c>
    </row>
    <row r="15" spans="1:15" s="20" customFormat="1" ht="12" customHeight="1" x14ac:dyDescent="0.15">
      <c r="A15" s="192" t="s">
        <v>212</v>
      </c>
      <c r="B15" s="106"/>
      <c r="C15" s="93">
        <v>26114.79</v>
      </c>
      <c r="D15" s="106"/>
      <c r="E15" s="93">
        <f>E13*E14</f>
        <v>39680</v>
      </c>
      <c r="F15" s="93">
        <v>0</v>
      </c>
      <c r="G15" s="93">
        <f>G13*G14</f>
        <v>65000</v>
      </c>
      <c r="H15" s="93">
        <v>0</v>
      </c>
      <c r="I15" s="93">
        <f>I13*I14</f>
        <v>66150</v>
      </c>
      <c r="J15" s="93">
        <v>0</v>
      </c>
      <c r="K15" s="93">
        <f>K13*K14</f>
        <v>64800.000000000007</v>
      </c>
      <c r="M15" s="93">
        <f>M13*M14</f>
        <v>65800</v>
      </c>
      <c r="O15" s="93">
        <f>O13*O14</f>
        <v>64400.000000000007</v>
      </c>
    </row>
    <row r="16" spans="1:15" s="20" customFormat="1" ht="12" customHeight="1" x14ac:dyDescent="0.15">
      <c r="A16" s="191"/>
      <c r="B16" s="106"/>
      <c r="D16" s="106"/>
      <c r="F16" s="106"/>
    </row>
    <row r="17" spans="1:15" s="20" customFormat="1" ht="12" customHeight="1" x14ac:dyDescent="0.15">
      <c r="A17" s="109" t="s">
        <v>310</v>
      </c>
      <c r="B17" s="106"/>
      <c r="D17" s="106"/>
      <c r="F17" s="106"/>
    </row>
    <row r="18" spans="1:15" s="20" customFormat="1" ht="12" customHeight="1" x14ac:dyDescent="0.15">
      <c r="A18" s="191" t="s">
        <v>210</v>
      </c>
      <c r="B18" s="106"/>
      <c r="C18" s="161">
        <v>0</v>
      </c>
      <c r="D18" s="106"/>
      <c r="E18" s="161">
        <v>100000</v>
      </c>
      <c r="F18" s="193"/>
      <c r="G18" s="161">
        <v>600000</v>
      </c>
      <c r="H18" s="11"/>
      <c r="I18" s="161">
        <f>425000+(500000)-7000</f>
        <v>918000</v>
      </c>
      <c r="J18" s="11"/>
      <c r="K18" s="161">
        <f>618000+500000-8000</f>
        <v>1110000</v>
      </c>
      <c r="L18" s="11"/>
      <c r="M18" s="161">
        <f>810000+500000-9000</f>
        <v>1301000</v>
      </c>
      <c r="N18" s="11"/>
      <c r="O18" s="161">
        <f>1001000+500000-10000</f>
        <v>1491000</v>
      </c>
    </row>
    <row r="19" spans="1:15" s="20" customFormat="1" ht="12" customHeight="1" x14ac:dyDescent="0.15">
      <c r="A19" s="191" t="s">
        <v>211</v>
      </c>
      <c r="B19" s="106"/>
      <c r="C19" s="142">
        <v>0</v>
      </c>
      <c r="D19" s="106"/>
      <c r="E19" s="142">
        <v>5.8400000000000001E-2</v>
      </c>
      <c r="F19" s="106"/>
      <c r="G19" s="108">
        <v>6.5000000000000002E-2</v>
      </c>
      <c r="I19" s="108">
        <v>6.7500000000000004E-2</v>
      </c>
      <c r="K19" s="108">
        <v>6.7500000000000004E-2</v>
      </c>
      <c r="M19" s="108">
        <v>7.0000000000000007E-2</v>
      </c>
      <c r="O19" s="108">
        <v>7.0000000000000007E-2</v>
      </c>
    </row>
    <row r="20" spans="1:15" s="20" customFormat="1" ht="12" customHeight="1" x14ac:dyDescent="0.15">
      <c r="A20" s="192" t="s">
        <v>212</v>
      </c>
      <c r="B20" s="106"/>
      <c r="C20" s="93">
        <v>0</v>
      </c>
      <c r="D20" s="106"/>
      <c r="E20" s="93">
        <f>E18*E19</f>
        <v>5840</v>
      </c>
      <c r="F20" s="93">
        <v>0</v>
      </c>
      <c r="G20" s="93">
        <f>G18*G19</f>
        <v>39000</v>
      </c>
      <c r="H20" s="93">
        <v>0</v>
      </c>
      <c r="I20" s="93">
        <f>I18*I19</f>
        <v>61965.000000000007</v>
      </c>
      <c r="J20" s="93">
        <v>0</v>
      </c>
      <c r="K20" s="93">
        <f>K18*K19</f>
        <v>74925</v>
      </c>
      <c r="M20" s="93">
        <f>M18*M19</f>
        <v>91070.000000000015</v>
      </c>
      <c r="O20" s="93">
        <f>O18*O19</f>
        <v>104370.00000000001</v>
      </c>
    </row>
    <row r="21" spans="1:15" s="20" customFormat="1" ht="12" customHeight="1" x14ac:dyDescent="0.15">
      <c r="A21" s="192"/>
      <c r="B21" s="106"/>
      <c r="C21" s="93"/>
      <c r="D21" s="106"/>
      <c r="E21" s="93"/>
      <c r="F21" s="106"/>
      <c r="G21" s="93"/>
      <c r="I21" s="93"/>
      <c r="K21" s="93"/>
      <c r="M21" s="93"/>
      <c r="O21" s="93"/>
    </row>
    <row r="22" spans="1:15" s="20" customFormat="1" ht="12" customHeight="1" x14ac:dyDescent="0.15">
      <c r="A22" s="194" t="s">
        <v>311</v>
      </c>
      <c r="B22" s="106"/>
      <c r="C22" s="93"/>
      <c r="D22" s="106"/>
      <c r="E22" s="93"/>
      <c r="F22" s="106"/>
      <c r="G22" s="93"/>
      <c r="I22" s="93"/>
      <c r="K22" s="93"/>
      <c r="M22" s="93"/>
      <c r="O22" s="93"/>
    </row>
    <row r="23" spans="1:15" s="20" customFormat="1" ht="12" customHeight="1" x14ac:dyDescent="0.15">
      <c r="A23" s="191" t="s">
        <v>210</v>
      </c>
      <c r="B23" s="106"/>
      <c r="C23" s="161">
        <f>(223808+240692)/2</f>
        <v>232250</v>
      </c>
      <c r="D23" s="106"/>
      <c r="E23" s="161">
        <v>215723</v>
      </c>
      <c r="F23" s="193"/>
      <c r="G23" s="93">
        <v>193000</v>
      </c>
      <c r="H23" s="11"/>
      <c r="I23" s="93">
        <v>185000</v>
      </c>
      <c r="J23" s="11"/>
      <c r="K23" s="93">
        <v>170000</v>
      </c>
      <c r="L23" s="11"/>
      <c r="M23" s="93">
        <v>155000</v>
      </c>
      <c r="N23" s="11"/>
      <c r="O23" s="93">
        <v>140000</v>
      </c>
    </row>
    <row r="24" spans="1:15" s="20" customFormat="1" ht="12" customHeight="1" x14ac:dyDescent="0.15">
      <c r="A24" s="191" t="s">
        <v>211</v>
      </c>
      <c r="B24" s="106"/>
      <c r="C24" s="142">
        <f>+C25/C23</f>
        <v>4.6162066738428417E-2</v>
      </c>
      <c r="D24" s="106"/>
      <c r="E24" s="142">
        <v>4.6199999999999998E-2</v>
      </c>
      <c r="F24" s="106"/>
      <c r="G24" s="142">
        <v>4.6199999999999998E-2</v>
      </c>
      <c r="I24" s="142">
        <v>4.6199999999999998E-2</v>
      </c>
      <c r="K24" s="142">
        <v>4.6199999999999998E-2</v>
      </c>
      <c r="M24" s="142">
        <v>4.6199999999999998E-2</v>
      </c>
      <c r="O24" s="142">
        <v>4.6199999999999998E-2</v>
      </c>
    </row>
    <row r="25" spans="1:15" s="20" customFormat="1" ht="12" customHeight="1" x14ac:dyDescent="0.15">
      <c r="A25" s="192" t="s">
        <v>212</v>
      </c>
      <c r="B25" s="106"/>
      <c r="C25" s="93">
        <v>10721.14</v>
      </c>
      <c r="D25" s="106"/>
      <c r="E25" s="93">
        <f>E23*E24</f>
        <v>9966.4025999999994</v>
      </c>
      <c r="F25" s="93">
        <v>0</v>
      </c>
      <c r="G25" s="93">
        <f>G23*G24</f>
        <v>8916.6</v>
      </c>
      <c r="H25" s="93">
        <v>0</v>
      </c>
      <c r="I25" s="93">
        <f>I23*I24</f>
        <v>8547</v>
      </c>
      <c r="J25" s="93">
        <v>0</v>
      </c>
      <c r="K25" s="93">
        <f>K23*K24</f>
        <v>7854</v>
      </c>
      <c r="M25" s="93">
        <f>M23*M24</f>
        <v>7161</v>
      </c>
      <c r="O25" s="93">
        <f>O23*O24</f>
        <v>6468</v>
      </c>
    </row>
    <row r="26" spans="1:15" s="20" customFormat="1" ht="12" customHeight="1" x14ac:dyDescent="0.15">
      <c r="A26" s="192"/>
      <c r="B26" s="106"/>
      <c r="C26" s="93"/>
      <c r="D26" s="106"/>
      <c r="E26" s="93"/>
      <c r="F26" s="106"/>
      <c r="G26" s="93"/>
      <c r="I26" s="93"/>
      <c r="K26" s="93"/>
      <c r="M26" s="93"/>
      <c r="O26" s="93"/>
    </row>
    <row r="27" spans="1:15" s="20" customFormat="1" ht="12" customHeight="1" x14ac:dyDescent="0.15">
      <c r="A27" s="194" t="s">
        <v>312</v>
      </c>
      <c r="B27" s="106"/>
      <c r="C27" s="93"/>
      <c r="D27" s="106"/>
      <c r="E27" s="93"/>
      <c r="F27" s="106"/>
      <c r="G27" s="93"/>
      <c r="I27" s="93"/>
      <c r="K27" s="93"/>
      <c r="M27" s="93"/>
      <c r="O27" s="93"/>
    </row>
    <row r="28" spans="1:15" s="20" customFormat="1" ht="12" customHeight="1" x14ac:dyDescent="0.15">
      <c r="A28" s="191" t="s">
        <v>210</v>
      </c>
      <c r="B28" s="106"/>
      <c r="C28" s="161">
        <f>(46320+48901)/2</f>
        <v>47610.5</v>
      </c>
      <c r="D28" s="106"/>
      <c r="E28" s="161">
        <v>71100</v>
      </c>
      <c r="F28" s="193"/>
      <c r="G28" s="161">
        <v>130000</v>
      </c>
      <c r="H28" s="11"/>
      <c r="I28" s="161">
        <f>+G28+(40000*0.5)-2000</f>
        <v>148000</v>
      </c>
      <c r="J28" s="11"/>
      <c r="K28" s="161">
        <f>+I28+(40000*0.5)-4000</f>
        <v>164000</v>
      </c>
      <c r="L28" s="11"/>
      <c r="M28" s="161">
        <f>+K28+(40000*0.5)-8000</f>
        <v>176000</v>
      </c>
      <c r="N28" s="11"/>
      <c r="O28" s="161">
        <f>+M28+(40000*0.5)-16000</f>
        <v>180000</v>
      </c>
    </row>
    <row r="29" spans="1:15" s="20" customFormat="1" ht="12" customHeight="1" x14ac:dyDescent="0.15">
      <c r="A29" s="191" t="s">
        <v>211</v>
      </c>
      <c r="B29" s="106"/>
      <c r="C29" s="142">
        <f>+C30/C28</f>
        <v>6.0209617626363933E-2</v>
      </c>
      <c r="D29" s="106"/>
      <c r="E29" s="142">
        <v>6.2799999999999995E-2</v>
      </c>
      <c r="F29" s="106"/>
      <c r="G29" s="108">
        <v>6.5000000000000002E-2</v>
      </c>
      <c r="I29" s="108">
        <v>6.5000000000000002E-2</v>
      </c>
      <c r="K29" s="108">
        <v>7.0000000000000007E-2</v>
      </c>
      <c r="M29" s="108">
        <v>7.0000000000000007E-2</v>
      </c>
      <c r="O29" s="108">
        <v>7.0000000000000007E-2</v>
      </c>
    </row>
    <row r="30" spans="1:15" s="20" customFormat="1" ht="12" customHeight="1" x14ac:dyDescent="0.15">
      <c r="A30" s="192" t="s">
        <v>212</v>
      </c>
      <c r="B30" s="106"/>
      <c r="C30" s="93">
        <v>2866.61</v>
      </c>
      <c r="D30" s="106"/>
      <c r="E30" s="93">
        <f>E28*E29</f>
        <v>4465.08</v>
      </c>
      <c r="F30" s="106"/>
      <c r="G30" s="93">
        <f>G28*G29</f>
        <v>8450</v>
      </c>
      <c r="I30" s="93">
        <f>I28*I29</f>
        <v>9620</v>
      </c>
      <c r="K30" s="93">
        <f>K28*K29</f>
        <v>11480.000000000002</v>
      </c>
      <c r="M30" s="93">
        <f>M28*M29</f>
        <v>12320.000000000002</v>
      </c>
      <c r="O30" s="93">
        <f>O28*O29</f>
        <v>12600.000000000002</v>
      </c>
    </row>
    <row r="31" spans="1:15" s="20" customFormat="1" ht="12" customHeight="1" x14ac:dyDescent="0.15">
      <c r="A31" s="192"/>
      <c r="B31" s="106"/>
      <c r="C31" s="93"/>
      <c r="D31" s="106"/>
      <c r="E31" s="93"/>
      <c r="F31" s="106"/>
      <c r="G31" s="93"/>
      <c r="I31" s="93"/>
      <c r="K31" s="93"/>
      <c r="M31" s="93"/>
      <c r="O31" s="93"/>
    </row>
    <row r="32" spans="1:15" s="20" customFormat="1" ht="12" customHeight="1" x14ac:dyDescent="0.15">
      <c r="A32" s="194" t="s">
        <v>217</v>
      </c>
      <c r="B32" s="106"/>
      <c r="C32" s="93"/>
      <c r="D32" s="106"/>
      <c r="E32" s="93"/>
      <c r="F32" s="106"/>
      <c r="G32" s="93"/>
      <c r="I32" s="93"/>
      <c r="K32" s="93"/>
      <c r="M32" s="93"/>
      <c r="O32" s="93"/>
    </row>
    <row r="33" spans="1:15" s="20" customFormat="1" ht="12" customHeight="1" x14ac:dyDescent="0.15">
      <c r="A33" s="191" t="s">
        <v>210</v>
      </c>
      <c r="B33" s="106"/>
      <c r="C33" s="161">
        <f>+C8+C13+C18+C23+C28</f>
        <v>16461150</v>
      </c>
      <c r="D33" s="106"/>
      <c r="E33" s="161">
        <f>+E8+E13+E18+E23+E28</f>
        <v>17254873</v>
      </c>
      <c r="F33" s="193"/>
      <c r="G33" s="161">
        <f>+G8+G13+G18+G23+G28</f>
        <v>20923000</v>
      </c>
      <c r="H33" s="11"/>
      <c r="I33" s="161">
        <f>+I8+I13+I18+I23+I28</f>
        <v>23231000</v>
      </c>
      <c r="J33" s="11"/>
      <c r="K33" s="161">
        <f>+K8+K13+K18+K23+K28</f>
        <v>24904000</v>
      </c>
      <c r="L33" s="11"/>
      <c r="M33" s="161">
        <f>+M8+M13+M18+M23+M28</f>
        <v>26072000</v>
      </c>
      <c r="N33" s="11"/>
      <c r="O33" s="161">
        <f>+O8+O13+O18+O23+O28</f>
        <v>26731000</v>
      </c>
    </row>
    <row r="34" spans="1:15" s="20" customFormat="1" ht="12" customHeight="1" x14ac:dyDescent="0.15">
      <c r="A34" s="191" t="s">
        <v>211</v>
      </c>
      <c r="B34" s="106"/>
      <c r="C34" s="142">
        <f>+C35/C33</f>
        <v>5.5264130999353026E-2</v>
      </c>
      <c r="D34" s="106"/>
      <c r="E34" s="142">
        <f>+E35/E33</f>
        <v>5.5107413865057131E-2</v>
      </c>
      <c r="F34" s="106"/>
      <c r="G34" s="142">
        <f>+G35/G33</f>
        <v>5.8015896381972E-2</v>
      </c>
      <c r="I34" s="142">
        <f>+I35/I33</f>
        <v>6.0534716542550902E-2</v>
      </c>
      <c r="K34" s="142">
        <f>+K35/K33</f>
        <v>6.0595044972695147E-2</v>
      </c>
      <c r="M34" s="142">
        <f>+M35/M33</f>
        <v>6.3098381405339063E-2</v>
      </c>
      <c r="O34" s="142">
        <f>+O35/O33</f>
        <v>6.3141595899891517E-2</v>
      </c>
    </row>
    <row r="35" spans="1:15" s="20" customFormat="1" ht="12" customHeight="1" x14ac:dyDescent="0.15">
      <c r="A35" s="192" t="s">
        <v>212</v>
      </c>
      <c r="B35" s="106"/>
      <c r="C35" s="93">
        <f>+C10+C15+C20+C25+C30</f>
        <v>909711.15</v>
      </c>
      <c r="D35" s="106"/>
      <c r="E35" s="93">
        <f>+E10+E15+E20+E25+E30</f>
        <v>950871.42759999994</v>
      </c>
      <c r="F35" s="106"/>
      <c r="G35" s="93">
        <f>+G10+G15+G20+G25+G30</f>
        <v>1213866.6000000001</v>
      </c>
      <c r="I35" s="93">
        <f>+I10+I15+I20+I25+I30</f>
        <v>1406282</v>
      </c>
      <c r="K35" s="93">
        <f>+K10+K15+K20+K25+K30</f>
        <v>1509059</v>
      </c>
      <c r="M35" s="93">
        <f>+M10+M15+M20+M25+M30</f>
        <v>1645101</v>
      </c>
      <c r="O35" s="93">
        <f>+O10+O15+O20+O25+O30</f>
        <v>1687838</v>
      </c>
    </row>
    <row r="36" spans="1:15" s="20" customFormat="1" ht="12" customHeight="1" x14ac:dyDescent="0.15">
      <c r="A36" s="192"/>
      <c r="B36" s="106"/>
      <c r="C36" s="93"/>
      <c r="D36" s="106"/>
      <c r="E36" s="93"/>
      <c r="F36" s="106"/>
      <c r="G36" s="93"/>
      <c r="I36" s="93"/>
      <c r="K36" s="93"/>
      <c r="M36" s="93"/>
      <c r="O36" s="93"/>
    </row>
    <row r="37" spans="1:15" ht="12" customHeight="1" x14ac:dyDescent="0.15">
      <c r="A37" t="s">
        <v>213</v>
      </c>
      <c r="B37" s="106"/>
      <c r="D37" s="106"/>
      <c r="E37" s="20"/>
      <c r="F37" s="106"/>
      <c r="I37" s="20"/>
      <c r="K37" s="20"/>
      <c r="M37" s="20"/>
      <c r="O37" s="20"/>
    </row>
    <row r="38" spans="1:15" ht="12" customHeight="1" x14ac:dyDescent="0.15">
      <c r="A38" s="109" t="s">
        <v>214</v>
      </c>
      <c r="B38" s="106"/>
      <c r="D38" s="106"/>
      <c r="E38" s="20"/>
      <c r="F38" s="106"/>
      <c r="I38" s="20"/>
      <c r="K38" s="20"/>
      <c r="M38" s="20"/>
      <c r="O38" s="20"/>
    </row>
    <row r="39" spans="1:15" ht="12" customHeight="1" x14ac:dyDescent="0.15">
      <c r="A39" s="191" t="s">
        <v>210</v>
      </c>
      <c r="B39" s="106"/>
      <c r="C39" s="161">
        <f>(154699+448479)/2</f>
        <v>301589</v>
      </c>
      <c r="D39" s="106"/>
      <c r="E39" s="161">
        <v>485000</v>
      </c>
      <c r="F39" s="193"/>
      <c r="G39" s="93">
        <v>550000</v>
      </c>
      <c r="H39" s="11"/>
      <c r="I39" s="93">
        <f>550000+250000-100000</f>
        <v>700000</v>
      </c>
      <c r="J39" s="11"/>
      <c r="K39" s="93">
        <f>650000+250000-150000</f>
        <v>750000</v>
      </c>
      <c r="L39" s="11"/>
      <c r="M39" s="93">
        <f>750000+250000-150000</f>
        <v>850000</v>
      </c>
      <c r="N39" s="11"/>
      <c r="O39" s="93">
        <f>850000+250000-150000</f>
        <v>950000</v>
      </c>
    </row>
    <row r="40" spans="1:15" ht="12" customHeight="1" x14ac:dyDescent="0.15">
      <c r="A40" s="191" t="s">
        <v>211</v>
      </c>
      <c r="B40" s="106"/>
      <c r="C40" s="142">
        <f>+C41/C39</f>
        <v>7.0135183975542872E-2</v>
      </c>
      <c r="D40" s="106"/>
      <c r="E40" s="142">
        <v>7.1999999999999995E-2</v>
      </c>
      <c r="F40" s="106"/>
      <c r="G40" s="108">
        <v>7.1999999999999995E-2</v>
      </c>
      <c r="I40" s="108">
        <v>7.1999999999999995E-2</v>
      </c>
      <c r="K40" s="108">
        <v>7.2499999999999995E-2</v>
      </c>
      <c r="M40" s="108">
        <v>7.2499999999999995E-2</v>
      </c>
      <c r="O40" s="108">
        <v>7.2499999999999995E-2</v>
      </c>
    </row>
    <row r="41" spans="1:15" ht="12" customHeight="1" x14ac:dyDescent="0.15">
      <c r="A41" s="192" t="s">
        <v>212</v>
      </c>
      <c r="B41" s="106"/>
      <c r="C41" s="93">
        <f>20775+377</f>
        <v>21152</v>
      </c>
      <c r="D41" s="106"/>
      <c r="E41" s="93">
        <f>E39*E40</f>
        <v>34920</v>
      </c>
      <c r="F41" s="106"/>
      <c r="G41" s="93">
        <f>G39*G40</f>
        <v>39600</v>
      </c>
      <c r="I41" s="93">
        <f>I39*I40</f>
        <v>50399.999999999993</v>
      </c>
      <c r="K41" s="93">
        <f>K39*K40</f>
        <v>54374.999999999993</v>
      </c>
      <c r="M41" s="93">
        <f>M39*M40</f>
        <v>61624.999999999993</v>
      </c>
      <c r="O41" s="93">
        <f>O39*O40</f>
        <v>68875</v>
      </c>
    </row>
    <row r="42" spans="1:15" ht="12" customHeight="1" x14ac:dyDescent="0.15">
      <c r="B42" s="106"/>
      <c r="D42" s="106"/>
      <c r="E42" s="20"/>
      <c r="F42" s="106"/>
      <c r="I42" s="20"/>
      <c r="K42" s="20"/>
      <c r="M42" s="20"/>
      <c r="O42" s="20"/>
    </row>
    <row r="43" spans="1:15" ht="12" customHeight="1" x14ac:dyDescent="0.15">
      <c r="A43" s="109" t="s">
        <v>215</v>
      </c>
      <c r="B43" s="106"/>
      <c r="D43" s="106"/>
      <c r="E43" s="20"/>
      <c r="F43" s="106"/>
      <c r="I43" s="20"/>
      <c r="K43" s="20"/>
      <c r="M43" s="20"/>
      <c r="O43" s="20"/>
    </row>
    <row r="44" spans="1:15" ht="12" customHeight="1" x14ac:dyDescent="0.15">
      <c r="A44" s="191" t="s">
        <v>210</v>
      </c>
      <c r="B44" s="106"/>
      <c r="C44" s="161">
        <f>+(4213261+21797+2838334+21797)/2</f>
        <v>3547594.5</v>
      </c>
      <c r="D44" s="106"/>
      <c r="E44" s="161">
        <v>4049550</v>
      </c>
      <c r="F44" s="193"/>
      <c r="G44" s="161">
        <v>6000000</v>
      </c>
      <c r="H44" s="101"/>
      <c r="I44" s="161">
        <f>6000000+(2350000-500000)</f>
        <v>7850000</v>
      </c>
      <c r="J44" s="101"/>
      <c r="K44" s="161">
        <f>(7850000+(2350000-1000000))</f>
        <v>9200000</v>
      </c>
      <c r="L44" s="101"/>
      <c r="M44" s="161">
        <f>(9200000+(2350000-1000000))</f>
        <v>10550000</v>
      </c>
      <c r="N44" s="101"/>
      <c r="O44" s="161">
        <f>(10550000+2350000-1000000)</f>
        <v>11900000</v>
      </c>
    </row>
    <row r="45" spans="1:15" ht="12" customHeight="1" x14ac:dyDescent="0.15">
      <c r="A45" s="191" t="s">
        <v>211</v>
      </c>
      <c r="B45" s="106"/>
      <c r="C45" s="142">
        <f>+C46/C44</f>
        <v>6.5230115786908571E-2</v>
      </c>
      <c r="D45" s="106"/>
      <c r="E45" s="142">
        <v>6.2E-2</v>
      </c>
      <c r="F45" s="106"/>
      <c r="G45" s="108">
        <v>6.5000000000000002E-2</v>
      </c>
      <c r="I45" s="108">
        <v>6.6500000000000004E-2</v>
      </c>
      <c r="K45" s="108">
        <v>6.8000000000000005E-2</v>
      </c>
      <c r="M45" s="108">
        <v>6.8000000000000005E-2</v>
      </c>
      <c r="O45" s="108">
        <v>6.8000000000000005E-2</v>
      </c>
    </row>
    <row r="46" spans="1:15" ht="12" customHeight="1" x14ac:dyDescent="0.15">
      <c r="A46" s="192" t="s">
        <v>212</v>
      </c>
      <c r="B46" s="106"/>
      <c r="C46" s="93">
        <f>229095+2315</f>
        <v>231410</v>
      </c>
      <c r="D46" s="106"/>
      <c r="E46" s="93">
        <f>E44*E45</f>
        <v>251072.1</v>
      </c>
      <c r="F46" s="106"/>
      <c r="G46" s="93">
        <f>G44*G45</f>
        <v>390000</v>
      </c>
      <c r="I46" s="93">
        <f>I44*I45</f>
        <v>522025</v>
      </c>
      <c r="K46" s="93">
        <f>K44*K45</f>
        <v>625600</v>
      </c>
      <c r="M46" s="93">
        <f>M44*M45</f>
        <v>717400</v>
      </c>
      <c r="O46" s="93">
        <f>O44*O45</f>
        <v>809200</v>
      </c>
    </row>
    <row r="47" spans="1:15" ht="12" customHeight="1" x14ac:dyDescent="0.15">
      <c r="B47" s="106"/>
      <c r="D47" s="106"/>
      <c r="E47" s="20"/>
      <c r="F47" s="106"/>
      <c r="I47" s="20"/>
      <c r="K47" s="20"/>
      <c r="M47" s="20"/>
      <c r="O47" s="20"/>
    </row>
    <row r="48" spans="1:15" s="20" customFormat="1" ht="12" customHeight="1" x14ac:dyDescent="0.15">
      <c r="A48" s="20" t="s">
        <v>218</v>
      </c>
      <c r="B48" s="106"/>
      <c r="D48" s="106"/>
      <c r="F48" s="106"/>
    </row>
    <row r="49" spans="1:15" s="20" customFormat="1" ht="12" customHeight="1" x14ac:dyDescent="0.15">
      <c r="A49" s="191" t="s">
        <v>210</v>
      </c>
      <c r="B49" s="106"/>
      <c r="C49" s="161">
        <f>+C39+C44</f>
        <v>3849183.5</v>
      </c>
      <c r="D49" s="106"/>
      <c r="E49" s="161">
        <f>+E39+E44</f>
        <v>4534550</v>
      </c>
      <c r="F49" s="193"/>
      <c r="G49" s="161">
        <f>+G39+G44</f>
        <v>6550000</v>
      </c>
      <c r="H49" s="11"/>
      <c r="I49" s="161">
        <f>+I39+I44</f>
        <v>8550000</v>
      </c>
      <c r="J49" s="11"/>
      <c r="K49" s="161">
        <f>+K39+K44</f>
        <v>9950000</v>
      </c>
      <c r="L49" s="11"/>
      <c r="M49" s="161">
        <f>+M39+M44</f>
        <v>11400000</v>
      </c>
      <c r="N49" s="11"/>
      <c r="O49" s="161">
        <f>+O39+O44</f>
        <v>12850000</v>
      </c>
    </row>
    <row r="50" spans="1:15" s="20" customFormat="1" ht="12" customHeight="1" x14ac:dyDescent="0.15">
      <c r="A50" s="191" t="s">
        <v>211</v>
      </c>
      <c r="B50" s="106"/>
      <c r="C50" s="142">
        <f>+C51/C49</f>
        <v>6.561443485352153E-2</v>
      </c>
      <c r="D50" s="106"/>
      <c r="E50" s="142">
        <f>+E51/E49</f>
        <v>6.3069565888566673E-2</v>
      </c>
      <c r="F50" s="106"/>
      <c r="G50" s="142">
        <f>+G51/G49</f>
        <v>6.558778625954198E-2</v>
      </c>
      <c r="I50" s="142">
        <f>+I51/I49</f>
        <v>6.6950292397660816E-2</v>
      </c>
      <c r="K50" s="142">
        <f>+K51/K49</f>
        <v>6.83391959798995E-2</v>
      </c>
      <c r="M50" s="142">
        <f>+M51/M49</f>
        <v>6.8335526315789472E-2</v>
      </c>
      <c r="O50" s="142">
        <f>+O51/O49</f>
        <v>6.833268482490272E-2</v>
      </c>
    </row>
    <row r="51" spans="1:15" s="20" customFormat="1" ht="12" customHeight="1" x14ac:dyDescent="0.15">
      <c r="A51" s="192" t="s">
        <v>212</v>
      </c>
      <c r="B51" s="106"/>
      <c r="C51" s="195">
        <f>+C41+C46</f>
        <v>252562</v>
      </c>
      <c r="D51" s="106"/>
      <c r="E51" s="195">
        <f>+E41+E46</f>
        <v>285992.09999999998</v>
      </c>
      <c r="F51" s="106"/>
      <c r="G51" s="195">
        <f>+G41+G46</f>
        <v>429600</v>
      </c>
      <c r="I51" s="195">
        <f>+I41+I46</f>
        <v>572425</v>
      </c>
      <c r="K51" s="195">
        <f>+K41+K46</f>
        <v>679975</v>
      </c>
      <c r="M51" s="195">
        <f>+M41+M46</f>
        <v>779025</v>
      </c>
      <c r="O51" s="195">
        <f>+O41+O46</f>
        <v>878075</v>
      </c>
    </row>
    <row r="52" spans="1:15" s="20" customFormat="1" ht="12" customHeight="1" x14ac:dyDescent="0.15">
      <c r="B52" s="106"/>
      <c r="D52" s="106"/>
      <c r="F52" s="106"/>
    </row>
    <row r="53" spans="1:15" ht="12" customHeight="1" x14ac:dyDescent="0.15">
      <c r="A53" t="s">
        <v>216</v>
      </c>
      <c r="B53" s="106"/>
      <c r="D53" s="106"/>
      <c r="E53" s="20"/>
      <c r="F53" s="106"/>
      <c r="I53" s="20"/>
      <c r="K53" s="20"/>
      <c r="M53" s="20"/>
      <c r="O53" s="20"/>
    </row>
    <row r="54" spans="1:15" ht="12" customHeight="1" x14ac:dyDescent="0.15">
      <c r="A54" s="191" t="s">
        <v>210</v>
      </c>
      <c r="B54" s="106"/>
      <c r="C54" s="161">
        <f>+C33+C49</f>
        <v>20310333.5</v>
      </c>
      <c r="D54" s="106"/>
      <c r="E54" s="161">
        <f>+E33+E49</f>
        <v>21789423</v>
      </c>
      <c r="F54" s="176"/>
      <c r="G54" s="161">
        <f>+G33+G49</f>
        <v>27473000</v>
      </c>
      <c r="H54" s="93"/>
      <c r="I54" s="161">
        <f>+I33+I49</f>
        <v>31781000</v>
      </c>
      <c r="J54" s="93"/>
      <c r="K54" s="161">
        <f>+K33+K49</f>
        <v>34854000</v>
      </c>
      <c r="L54" s="93"/>
      <c r="M54" s="161">
        <f>+M33+M49</f>
        <v>37472000</v>
      </c>
      <c r="N54" s="93"/>
      <c r="O54" s="161">
        <f>+O33+O49</f>
        <v>39581000</v>
      </c>
    </row>
    <row r="55" spans="1:15" ht="12" customHeight="1" x14ac:dyDescent="0.15">
      <c r="A55" s="191" t="s">
        <v>211</v>
      </c>
      <c r="B55" s="106"/>
      <c r="C55" s="142">
        <f>+C56/C54</f>
        <v>5.7225704836407529E-2</v>
      </c>
      <c r="D55" s="106"/>
      <c r="E55" s="142">
        <f>+E56/E54</f>
        <v>5.6764400213810157E-2</v>
      </c>
      <c r="F55" s="106"/>
      <c r="G55" s="142">
        <f>+G56/G54</f>
        <v>5.9821155316128569E-2</v>
      </c>
      <c r="I55" s="142">
        <f>+I56/I54</f>
        <v>6.2260690349579935E-2</v>
      </c>
      <c r="K55" s="142">
        <f>+K56/K54</f>
        <v>6.2805818557410908E-2</v>
      </c>
      <c r="M55" s="142">
        <f>+M56/M54</f>
        <v>6.4691663108454311E-2</v>
      </c>
      <c r="O55" s="142">
        <f>+O56/O54</f>
        <v>6.48268866375281E-2</v>
      </c>
    </row>
    <row r="56" spans="1:15" ht="12" customHeight="1" x14ac:dyDescent="0.15">
      <c r="A56" s="192" t="s">
        <v>212</v>
      </c>
      <c r="B56" s="106"/>
      <c r="C56" s="93">
        <f>+C35+C51</f>
        <v>1162273.1499999999</v>
      </c>
      <c r="D56" s="106"/>
      <c r="E56" s="93">
        <f>+E35+E51</f>
        <v>1236863.5275999999</v>
      </c>
      <c r="F56" s="176"/>
      <c r="G56" s="93">
        <f>+G35+G51</f>
        <v>1643466.6</v>
      </c>
      <c r="H56" s="93"/>
      <c r="I56" s="93">
        <f>+I35+I51</f>
        <v>1978707</v>
      </c>
      <c r="J56" s="93"/>
      <c r="K56" s="93">
        <f>+K35+K51</f>
        <v>2189034</v>
      </c>
      <c r="L56" s="93"/>
      <c r="M56" s="93">
        <f>+M35+M51</f>
        <v>2424126</v>
      </c>
      <c r="N56" s="93"/>
      <c r="O56" s="93">
        <f>+O35+O51</f>
        <v>2565913</v>
      </c>
    </row>
    <row r="57" spans="1:15" ht="12" customHeight="1" x14ac:dyDescent="0.15">
      <c r="B57" s="106"/>
      <c r="C57" s="8"/>
      <c r="D57" s="106"/>
      <c r="E57" s="8"/>
      <c r="F57" s="106"/>
    </row>
    <row r="58" spans="1:15" ht="12" customHeight="1" x14ac:dyDescent="0.15">
      <c r="B58" s="106"/>
      <c r="C58" s="8"/>
      <c r="D58" s="106"/>
      <c r="E58" s="8"/>
      <c r="F58" s="106"/>
    </row>
    <row r="59" spans="1:15" ht="12" customHeight="1" x14ac:dyDescent="0.15">
      <c r="B59" s="106"/>
      <c r="C59" s="8"/>
      <c r="D59" s="106"/>
      <c r="E59" s="8"/>
      <c r="F59" s="106"/>
    </row>
    <row r="60" spans="1:15" ht="12" customHeight="1" x14ac:dyDescent="0.15">
      <c r="B60" s="106"/>
      <c r="C60" s="8"/>
      <c r="D60" s="106"/>
      <c r="E60" s="8"/>
      <c r="F60" s="106"/>
    </row>
    <row r="61" spans="1:15" ht="12" customHeight="1" x14ac:dyDescent="0.15">
      <c r="B61" s="106"/>
      <c r="C61" s="8"/>
      <c r="D61" s="106"/>
      <c r="E61" s="8"/>
      <c r="F61" s="106"/>
    </row>
    <row r="62" spans="1:15" ht="12" customHeight="1" x14ac:dyDescent="0.15">
      <c r="B62" s="106"/>
      <c r="C62" s="8"/>
      <c r="D62" s="106"/>
      <c r="E62" s="8"/>
      <c r="F62" s="106"/>
    </row>
    <row r="63" spans="1:15" ht="12" customHeight="1" x14ac:dyDescent="0.15">
      <c r="B63" s="106"/>
      <c r="C63" s="8"/>
      <c r="D63" s="106"/>
      <c r="E63" s="8"/>
      <c r="F63" s="106"/>
    </row>
    <row r="64" spans="1:15" ht="12" customHeight="1" x14ac:dyDescent="0.15">
      <c r="B64" s="106"/>
      <c r="C64" s="8"/>
      <c r="D64" s="106"/>
      <c r="E64" s="8"/>
      <c r="F64" s="106"/>
    </row>
    <row r="65" spans="2:6" ht="12" customHeight="1" x14ac:dyDescent="0.15">
      <c r="B65" s="8"/>
      <c r="C65" s="8"/>
      <c r="D65" s="8"/>
      <c r="E65" s="8"/>
      <c r="F65" s="8"/>
    </row>
    <row r="66" spans="2:6" ht="12" customHeight="1" x14ac:dyDescent="0.15"/>
    <row r="67" spans="2:6" ht="12" customHeight="1" x14ac:dyDescent="0.15"/>
    <row r="68" spans="2:6" ht="12" customHeight="1" x14ac:dyDescent="0.15"/>
    <row r="69" spans="2:6" ht="12" customHeight="1" x14ac:dyDescent="0.15"/>
    <row r="70" spans="2:6" ht="12" customHeight="1" x14ac:dyDescent="0.15"/>
    <row r="71" spans="2:6" ht="12" customHeight="1" x14ac:dyDescent="0.15"/>
    <row r="72" spans="2:6" ht="12" customHeight="1" x14ac:dyDescent="0.15"/>
    <row r="73" spans="2:6" ht="12" customHeight="1" x14ac:dyDescent="0.15"/>
    <row r="74" spans="2:6" ht="12" customHeight="1" x14ac:dyDescent="0.15"/>
    <row r="75" spans="2:6" ht="12" customHeight="1" x14ac:dyDescent="0.15"/>
    <row r="76" spans="2:6" ht="12" customHeight="1" x14ac:dyDescent="0.15"/>
    <row r="77" spans="2:6" ht="12" customHeight="1" x14ac:dyDescent="0.15"/>
    <row r="78" spans="2:6" ht="12" customHeight="1" x14ac:dyDescent="0.15"/>
    <row r="79" spans="2:6" ht="12" customHeight="1" x14ac:dyDescent="0.15"/>
    <row r="80" spans="2:6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</sheetData>
  <printOptions horizontalCentered="1" verticalCentered="1"/>
  <pageMargins left="0.7" right="0.7" top="0.75" bottom="0.75" header="0.3" footer="0.3"/>
  <pageSetup scale="83" orientation="portrait" r:id="rId1"/>
  <ignoredErrors>
    <ignoredError sqref="E5:N5 B5" numberStoredAsText="1"/>
    <ignoredError sqref="C34:C100 E34:P38 E41:P43 E40:F40 H40 J40:P40 F39 H39 E46:P79 E45:H45 J45 L45 N45 P45 F44 H44 J39 L39 N39 P39 J44 L44 N44 P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U157"/>
  <sheetViews>
    <sheetView workbookViewId="0">
      <selection activeCell="A42" sqref="A42"/>
    </sheetView>
  </sheetViews>
  <sheetFormatPr defaultRowHeight="10.5" x14ac:dyDescent="0.15"/>
  <cols>
    <col min="1" max="1" width="50" bestFit="1" customWidth="1"/>
    <col min="2" max="2" width="3.83203125" customWidth="1"/>
    <col min="3" max="3" width="14.83203125" bestFit="1" customWidth="1"/>
    <col min="4" max="4" width="3.83203125" style="20" customWidth="1"/>
    <col min="5" max="5" width="16.1640625" bestFit="1" customWidth="1"/>
    <col min="6" max="6" width="3.83203125" style="20" customWidth="1"/>
    <col min="7" max="7" width="13.6640625" style="20" bestFit="1" customWidth="1"/>
    <col min="8" max="8" width="3.83203125" style="20" customWidth="1"/>
    <col min="9" max="9" width="13.83203125" bestFit="1" customWidth="1"/>
    <col min="10" max="10" width="3.83203125" style="20" customWidth="1"/>
    <col min="11" max="11" width="12.1640625" bestFit="1" customWidth="1"/>
    <col min="12" max="12" width="3.83203125" style="20" customWidth="1"/>
    <col min="13" max="13" width="9.6640625" style="20" bestFit="1" customWidth="1"/>
    <col min="14" max="14" width="3.83203125" style="20" customWidth="1"/>
    <col min="15" max="19" width="18.1640625" bestFit="1" customWidth="1"/>
  </cols>
  <sheetData>
    <row r="1" spans="1:21" s="20" customFormat="1" x14ac:dyDescent="0.15">
      <c r="G1" s="134" t="s">
        <v>183</v>
      </c>
    </row>
    <row r="2" spans="1:21" s="20" customFormat="1" x14ac:dyDescent="0.15">
      <c r="G2" s="147">
        <v>43465</v>
      </c>
      <c r="O2" s="134">
        <v>2019</v>
      </c>
      <c r="P2" s="134">
        <v>2020</v>
      </c>
      <c r="Q2" s="134">
        <v>2021</v>
      </c>
      <c r="R2" s="134">
        <v>2022</v>
      </c>
      <c r="S2" s="134">
        <v>2023</v>
      </c>
    </row>
    <row r="3" spans="1:21" x14ac:dyDescent="0.15">
      <c r="A3" s="18" t="s">
        <v>156</v>
      </c>
      <c r="C3" s="124" t="s">
        <v>163</v>
      </c>
      <c r="D3" s="123"/>
      <c r="E3" s="124" t="s">
        <v>164</v>
      </c>
      <c r="F3" s="123"/>
      <c r="G3" s="18" t="s">
        <v>170</v>
      </c>
      <c r="H3" s="123"/>
      <c r="I3" s="124" t="s">
        <v>167</v>
      </c>
      <c r="J3" s="123"/>
      <c r="K3" s="124" t="s">
        <v>165</v>
      </c>
      <c r="L3" s="123"/>
      <c r="M3" s="18" t="s">
        <v>168</v>
      </c>
      <c r="N3" s="123"/>
      <c r="O3" s="124" t="s">
        <v>166</v>
      </c>
      <c r="P3" s="124" t="s">
        <v>166</v>
      </c>
      <c r="Q3" s="124" t="s">
        <v>166</v>
      </c>
      <c r="R3" s="124" t="s">
        <v>166</v>
      </c>
      <c r="S3" s="124" t="s">
        <v>166</v>
      </c>
    </row>
    <row r="4" spans="1:21" x14ac:dyDescent="0.15">
      <c r="A4" t="s">
        <v>157</v>
      </c>
      <c r="C4" s="125">
        <v>43465</v>
      </c>
      <c r="E4" s="11">
        <v>1000000</v>
      </c>
      <c r="G4" s="11">
        <v>1000000</v>
      </c>
      <c r="I4">
        <v>5</v>
      </c>
      <c r="K4" s="125">
        <v>45291</v>
      </c>
      <c r="M4" s="126">
        <v>4.2500000000000003E-2</v>
      </c>
      <c r="O4" s="101">
        <f>+$G$4*$M$4</f>
        <v>42500</v>
      </c>
      <c r="P4" s="101">
        <f>+$G$4*$M$4</f>
        <v>42500</v>
      </c>
      <c r="Q4" s="101">
        <f>+$G$4*$M$4</f>
        <v>42500</v>
      </c>
      <c r="R4" s="101">
        <f>+$G$4*$M$4</f>
        <v>42500</v>
      </c>
      <c r="S4" s="101">
        <f>+$G$4*$M$4</f>
        <v>42500</v>
      </c>
      <c r="T4" s="11"/>
      <c r="U4" s="11"/>
    </row>
    <row r="5" spans="1:21" x14ac:dyDescent="0.15">
      <c r="A5" t="s">
        <v>158</v>
      </c>
      <c r="E5" s="11"/>
      <c r="G5" s="11"/>
      <c r="M5" s="126"/>
      <c r="O5" s="101"/>
      <c r="P5" s="101"/>
      <c r="Q5" s="101"/>
      <c r="R5" s="101"/>
      <c r="S5" s="101"/>
      <c r="T5" s="11"/>
      <c r="U5" s="11"/>
    </row>
    <row r="6" spans="1:21" s="20" customFormat="1" x14ac:dyDescent="0.15">
      <c r="A6" s="109" t="s">
        <v>157</v>
      </c>
      <c r="C6" s="125">
        <v>41974</v>
      </c>
      <c r="E6" s="11">
        <v>1000000</v>
      </c>
      <c r="G6" s="11">
        <v>0</v>
      </c>
      <c r="I6" s="20">
        <v>10</v>
      </c>
      <c r="K6" s="125" t="s">
        <v>197</v>
      </c>
      <c r="M6" s="126">
        <v>2.572E-2</v>
      </c>
      <c r="O6" s="101">
        <f>+G6*M6*0.5</f>
        <v>0</v>
      </c>
      <c r="P6" s="101">
        <v>0</v>
      </c>
      <c r="Q6" s="101">
        <v>0</v>
      </c>
      <c r="R6" s="101">
        <v>0</v>
      </c>
      <c r="S6" s="101">
        <v>0</v>
      </c>
      <c r="T6" s="11"/>
      <c r="U6" s="11"/>
    </row>
    <row r="7" spans="1:21" s="20" customFormat="1" x14ac:dyDescent="0.15">
      <c r="A7" s="109" t="s">
        <v>158</v>
      </c>
      <c r="C7" s="125">
        <v>42108</v>
      </c>
      <c r="E7" s="11">
        <v>1000000</v>
      </c>
      <c r="G7" s="11">
        <v>0</v>
      </c>
      <c r="I7" s="20">
        <v>10</v>
      </c>
      <c r="K7" s="125" t="s">
        <v>197</v>
      </c>
      <c r="M7" s="126">
        <v>2.333E-2</v>
      </c>
      <c r="O7" s="101">
        <f>+G7*M7*0.5</f>
        <v>0</v>
      </c>
      <c r="P7" s="101">
        <v>0</v>
      </c>
      <c r="Q7" s="101">
        <v>0</v>
      </c>
      <c r="R7" s="101">
        <v>0</v>
      </c>
      <c r="S7" s="101">
        <v>0</v>
      </c>
      <c r="T7" s="11"/>
      <c r="U7" s="11"/>
    </row>
    <row r="8" spans="1:21" s="20" customFormat="1" x14ac:dyDescent="0.15">
      <c r="A8" s="109" t="s">
        <v>159</v>
      </c>
      <c r="C8" s="125">
        <v>42174</v>
      </c>
      <c r="E8" s="11">
        <v>1000000</v>
      </c>
      <c r="G8" s="11">
        <f>528365.91-2881.24-2881.24-2881.24</f>
        <v>519722.19000000006</v>
      </c>
      <c r="I8" s="20">
        <v>10</v>
      </c>
      <c r="K8" s="125">
        <v>45839</v>
      </c>
      <c r="M8" s="126">
        <v>2.93E-2</v>
      </c>
      <c r="O8" s="101">
        <f>1226*12</f>
        <v>14712</v>
      </c>
      <c r="P8" s="101">
        <f>1100*12</f>
        <v>13200</v>
      </c>
      <c r="Q8" s="101">
        <f>950*12</f>
        <v>11400</v>
      </c>
      <c r="R8" s="101">
        <f>700*12</f>
        <v>8400</v>
      </c>
      <c r="S8" s="101">
        <f>500*12</f>
        <v>6000</v>
      </c>
      <c r="T8" s="11"/>
      <c r="U8" s="11"/>
    </row>
    <row r="9" spans="1:21" s="20" customFormat="1" x14ac:dyDescent="0.15">
      <c r="A9" s="109" t="s">
        <v>160</v>
      </c>
      <c r="C9" s="125">
        <v>42240</v>
      </c>
      <c r="E9" s="11">
        <v>2000000</v>
      </c>
      <c r="G9" s="11">
        <f>1863921.39-3928.39-3928.39-3928.39</f>
        <v>1852136.2200000002</v>
      </c>
      <c r="I9" s="20">
        <v>10</v>
      </c>
      <c r="K9" s="125">
        <v>45902</v>
      </c>
      <c r="M9" s="126">
        <v>2.6620000000000001E-2</v>
      </c>
      <c r="O9" s="101">
        <f>4056*12</f>
        <v>48672</v>
      </c>
      <c r="P9" s="101">
        <f>3900*12</f>
        <v>46800</v>
      </c>
      <c r="Q9" s="101">
        <f>3700*12</f>
        <v>44400</v>
      </c>
      <c r="R9" s="101">
        <f>3500*12</f>
        <v>42000</v>
      </c>
      <c r="S9" s="101">
        <f>3300*12</f>
        <v>39600</v>
      </c>
      <c r="T9" s="11"/>
      <c r="U9" s="11"/>
    </row>
    <row r="10" spans="1:21" s="20" customFormat="1" x14ac:dyDescent="0.15">
      <c r="A10" s="109" t="s">
        <v>161</v>
      </c>
      <c r="C10" s="125">
        <v>42352</v>
      </c>
      <c r="E10" s="11">
        <v>1000000</v>
      </c>
      <c r="G10" s="11">
        <f>940343.01-1930.48-1930.48-1930.48</f>
        <v>934551.57000000007</v>
      </c>
      <c r="I10" s="20">
        <v>10</v>
      </c>
      <c r="K10" s="125">
        <v>46024</v>
      </c>
      <c r="M10" s="126">
        <v>2.7210000000000002E-2</v>
      </c>
      <c r="O10" s="101">
        <f>2093*12</f>
        <v>25116</v>
      </c>
      <c r="P10" s="101">
        <f>2000*12</f>
        <v>24000</v>
      </c>
      <c r="Q10" s="101">
        <f>1800*12</f>
        <v>21600</v>
      </c>
      <c r="R10" s="101">
        <f>1600*12</f>
        <v>19200</v>
      </c>
      <c r="S10" s="101">
        <f>1300*12</f>
        <v>15600</v>
      </c>
      <c r="T10" s="11"/>
      <c r="U10" s="11"/>
    </row>
    <row r="11" spans="1:21" s="20" customFormat="1" x14ac:dyDescent="0.15">
      <c r="A11" s="109" t="s">
        <v>162</v>
      </c>
      <c r="C11" s="125">
        <v>42403</v>
      </c>
      <c r="E11" s="11">
        <v>2000000</v>
      </c>
      <c r="G11" s="11">
        <v>0</v>
      </c>
      <c r="I11" s="20">
        <v>10</v>
      </c>
      <c r="K11" s="125" t="s">
        <v>197</v>
      </c>
      <c r="M11" s="126">
        <v>2.4830000000000001E-2</v>
      </c>
      <c r="O11" s="101">
        <f>+G11*M11*0.25</f>
        <v>0</v>
      </c>
      <c r="P11" s="101">
        <v>0</v>
      </c>
      <c r="Q11" s="101">
        <v>0</v>
      </c>
      <c r="R11" s="101">
        <v>0</v>
      </c>
      <c r="S11" s="101">
        <v>0</v>
      </c>
      <c r="T11" s="11"/>
      <c r="U11" s="11"/>
    </row>
    <row r="12" spans="1:21" s="20" customFormat="1" x14ac:dyDescent="0.15">
      <c r="A12" s="109" t="s">
        <v>169</v>
      </c>
      <c r="C12" s="125">
        <v>42486</v>
      </c>
      <c r="E12" s="128">
        <v>1000000</v>
      </c>
      <c r="G12" s="128">
        <v>0</v>
      </c>
      <c r="I12" s="20">
        <v>10</v>
      </c>
      <c r="K12" s="125" t="s">
        <v>197</v>
      </c>
      <c r="M12" s="126">
        <v>2.435E-2</v>
      </c>
      <c r="O12" s="208">
        <f>+G12*M12*0.5</f>
        <v>0</v>
      </c>
      <c r="P12" s="208">
        <v>0</v>
      </c>
      <c r="Q12" s="208">
        <v>0</v>
      </c>
      <c r="R12" s="208">
        <v>0</v>
      </c>
      <c r="S12" s="208">
        <v>0</v>
      </c>
      <c r="T12" s="11"/>
      <c r="U12" s="11"/>
    </row>
    <row r="13" spans="1:21" s="20" customFormat="1" x14ac:dyDescent="0.15">
      <c r="A13" s="20" t="s">
        <v>313</v>
      </c>
      <c r="E13" s="11">
        <f>SUM(E6:E12)</f>
        <v>9000000</v>
      </c>
      <c r="G13" s="11">
        <f>SUM(G6:G12)</f>
        <v>3306409.9800000004</v>
      </c>
      <c r="M13" s="126"/>
      <c r="O13" s="101">
        <f>SUM(O6:O12)*0.95</f>
        <v>84075</v>
      </c>
      <c r="P13" s="101">
        <f t="shared" ref="P13:S13" si="0">SUM(P6:P12)</f>
        <v>84000</v>
      </c>
      <c r="Q13" s="101">
        <f t="shared" si="0"/>
        <v>77400</v>
      </c>
      <c r="R13" s="101">
        <f t="shared" si="0"/>
        <v>69600</v>
      </c>
      <c r="S13" s="101">
        <f t="shared" si="0"/>
        <v>61200</v>
      </c>
      <c r="T13" s="11"/>
      <c r="U13" s="11"/>
    </row>
    <row r="14" spans="1:21" x14ac:dyDescent="0.15">
      <c r="A14" t="s">
        <v>159</v>
      </c>
      <c r="C14" s="125">
        <v>42870</v>
      </c>
      <c r="E14" s="11">
        <v>0</v>
      </c>
      <c r="G14" s="11">
        <v>0</v>
      </c>
      <c r="I14">
        <v>2</v>
      </c>
      <c r="K14" s="125" t="s">
        <v>197</v>
      </c>
      <c r="M14" s="126">
        <v>0.04</v>
      </c>
      <c r="O14" s="101">
        <f>+G14*M14</f>
        <v>0</v>
      </c>
      <c r="P14" s="101">
        <v>0</v>
      </c>
      <c r="Q14" s="101">
        <v>0</v>
      </c>
      <c r="R14" s="101">
        <v>0</v>
      </c>
      <c r="S14" s="101">
        <v>0</v>
      </c>
      <c r="T14" s="11"/>
      <c r="U14" s="11"/>
    </row>
    <row r="15" spans="1:21" x14ac:dyDescent="0.15">
      <c r="A15" t="s">
        <v>160</v>
      </c>
      <c r="C15" s="125">
        <v>42283</v>
      </c>
      <c r="E15" s="11">
        <v>250000</v>
      </c>
      <c r="G15" s="11">
        <f>173408.33+28980-2352.69-2352.69-2352.69</f>
        <v>195330.25999999998</v>
      </c>
      <c r="I15">
        <v>10</v>
      </c>
      <c r="J15" s="125"/>
      <c r="K15" s="125">
        <v>45936</v>
      </c>
      <c r="M15" s="126">
        <v>3.7499999999999999E-3</v>
      </c>
      <c r="O15" s="101">
        <f>$G$15*$M$15*0.93</f>
        <v>681.21428174999994</v>
      </c>
      <c r="P15" s="101">
        <f>$G$15*$M$15*0.9</f>
        <v>659.23962749999987</v>
      </c>
      <c r="Q15" s="101">
        <f>$G$15*$M$15*0.85</f>
        <v>622.61520374999986</v>
      </c>
      <c r="R15" s="101">
        <f>$G$15*$M$15*0.8</f>
        <v>585.99077999999997</v>
      </c>
      <c r="S15" s="101">
        <f>+$G$15*$M$15*0.75</f>
        <v>549.36635624999985</v>
      </c>
      <c r="T15" s="11"/>
      <c r="U15" s="11"/>
    </row>
    <row r="16" spans="1:21" s="20" customFormat="1" x14ac:dyDescent="0.15">
      <c r="A16" s="20" t="s">
        <v>161</v>
      </c>
      <c r="C16" s="125">
        <v>42909</v>
      </c>
      <c r="E16" s="11">
        <v>500000</v>
      </c>
      <c r="G16" s="11">
        <f>463166.15+27777.78-4516.32-4516.32-4516.32</f>
        <v>477394.97000000003</v>
      </c>
      <c r="I16" s="20">
        <v>10</v>
      </c>
      <c r="J16" s="125"/>
      <c r="K16" s="125">
        <v>46569</v>
      </c>
      <c r="M16" s="126">
        <v>6.2500000000000003E-3</v>
      </c>
      <c r="O16" s="101">
        <f>$G$16*$M$16*0.95</f>
        <v>2834.5326343750003</v>
      </c>
      <c r="P16" s="101">
        <f>$G$16*$M$16*0.9</f>
        <v>2685.3467062500004</v>
      </c>
      <c r="Q16" s="101">
        <f>$G$16*$M$16*0.85</f>
        <v>2536.160778125</v>
      </c>
      <c r="R16" s="101">
        <f>$G$16*$M$16*0.8</f>
        <v>2386.9748500000001</v>
      </c>
      <c r="S16" s="101">
        <f>+$E$16*$M$16*0.75</f>
        <v>2343.75</v>
      </c>
      <c r="T16" s="11"/>
      <c r="U16" s="11"/>
    </row>
    <row r="17" spans="1:21" s="148" customFormat="1" x14ac:dyDescent="0.15">
      <c r="A17" s="148" t="s">
        <v>162</v>
      </c>
      <c r="C17" s="149">
        <v>42370</v>
      </c>
      <c r="E17" s="150">
        <v>150000</v>
      </c>
      <c r="G17" s="150">
        <f>101370.3+18461.57-1544.17-1544.17-1544.17</f>
        <v>115199.36</v>
      </c>
      <c r="I17" s="148">
        <v>5</v>
      </c>
      <c r="K17" s="149">
        <v>44196</v>
      </c>
      <c r="M17" s="151">
        <v>0.03</v>
      </c>
      <c r="O17" s="150">
        <f>+$G$17*$M$17*0.92</f>
        <v>3179.502336</v>
      </c>
      <c r="P17" s="150">
        <f>+$G$17*$M$17*0.9</f>
        <v>3110.3827200000001</v>
      </c>
      <c r="Q17" s="150">
        <v>0</v>
      </c>
      <c r="R17" s="150">
        <v>0</v>
      </c>
      <c r="S17" s="150">
        <v>0</v>
      </c>
      <c r="T17" s="150"/>
      <c r="U17" s="150"/>
    </row>
    <row r="18" spans="1:21" x14ac:dyDescent="0.15">
      <c r="A18" t="s">
        <v>169</v>
      </c>
      <c r="C18" s="125">
        <v>42430</v>
      </c>
      <c r="E18" s="11">
        <v>200000</v>
      </c>
      <c r="G18" s="11">
        <v>200000</v>
      </c>
      <c r="I18">
        <v>5</v>
      </c>
      <c r="K18" s="125">
        <v>44256</v>
      </c>
      <c r="M18" s="126">
        <v>0.04</v>
      </c>
      <c r="O18" s="101">
        <f>+$G$18*$M$18</f>
        <v>8000</v>
      </c>
      <c r="P18" s="101">
        <f>+$G$18*$M$18</f>
        <v>8000</v>
      </c>
      <c r="Q18" s="101">
        <f>+$G$18*$M$18</f>
        <v>8000</v>
      </c>
      <c r="R18" s="101">
        <f>+$G$18*$M$18</f>
        <v>8000</v>
      </c>
      <c r="S18" s="101">
        <f>+$G$18*$M$18</f>
        <v>8000</v>
      </c>
      <c r="T18" s="11"/>
      <c r="U18" s="11"/>
    </row>
    <row r="19" spans="1:21" s="20" customFormat="1" x14ac:dyDescent="0.15">
      <c r="A19" s="20" t="s">
        <v>314</v>
      </c>
      <c r="C19" s="125">
        <v>42719</v>
      </c>
      <c r="E19" s="11">
        <v>100000</v>
      </c>
      <c r="G19" s="11">
        <v>100000</v>
      </c>
      <c r="I19" s="20">
        <v>5</v>
      </c>
      <c r="K19" s="125">
        <v>44545</v>
      </c>
      <c r="M19" s="126">
        <v>0.03</v>
      </c>
      <c r="O19" s="101">
        <f>+$G$19*$M$19</f>
        <v>3000</v>
      </c>
      <c r="P19" s="101">
        <f>+$G$19*$M$19</f>
        <v>3000</v>
      </c>
      <c r="Q19" s="101">
        <f>+$G$19*$M$19</f>
        <v>3000</v>
      </c>
      <c r="R19" s="101">
        <v>0</v>
      </c>
      <c r="S19" s="101">
        <v>0</v>
      </c>
      <c r="T19" s="11"/>
      <c r="U19" s="11"/>
    </row>
    <row r="20" spans="1:21" s="8" customFormat="1" x14ac:dyDescent="0.15">
      <c r="A20" s="8" t="s">
        <v>315</v>
      </c>
      <c r="C20" s="153">
        <v>43054</v>
      </c>
      <c r="E20" s="101">
        <v>3000000</v>
      </c>
      <c r="G20" s="101">
        <v>3000000</v>
      </c>
      <c r="I20" s="8">
        <v>1</v>
      </c>
      <c r="K20" s="153">
        <v>43419</v>
      </c>
      <c r="M20" s="154">
        <v>4.5999999999999999E-2</v>
      </c>
      <c r="O20" s="101">
        <f>(+$G$20-(250000))*$M$20</f>
        <v>126500</v>
      </c>
      <c r="P20" s="101">
        <f>((+$G$20-300000)-(300000))*$M$20</f>
        <v>110400</v>
      </c>
      <c r="Q20" s="101">
        <f>((+$G$20-600000)-(300000))*$M$20</f>
        <v>96600</v>
      </c>
      <c r="R20" s="101">
        <f>((+$G$20-900000)-(300000))*$M$20</f>
        <v>82800</v>
      </c>
      <c r="S20" s="101">
        <f>((+$G$20-1200000)-(300000))*$M$20</f>
        <v>69000</v>
      </c>
      <c r="T20" s="101"/>
      <c r="U20" s="101"/>
    </row>
    <row r="21" spans="1:21" s="20" customFormat="1" x14ac:dyDescent="0.15">
      <c r="A21" s="20" t="s">
        <v>190</v>
      </c>
      <c r="C21" s="125"/>
      <c r="E21" s="101"/>
      <c r="F21" s="8"/>
      <c r="G21" s="101"/>
      <c r="K21" s="125"/>
      <c r="M21" s="126"/>
      <c r="O21" s="209"/>
      <c r="P21" s="209"/>
      <c r="Q21" s="209"/>
      <c r="R21" s="209"/>
      <c r="S21" s="209"/>
      <c r="T21" s="11"/>
      <c r="U21" s="11"/>
    </row>
    <row r="22" spans="1:21" s="20" customFormat="1" x14ac:dyDescent="0.15">
      <c r="A22" s="109" t="s">
        <v>316</v>
      </c>
      <c r="C22" s="125">
        <v>43140</v>
      </c>
      <c r="E22" s="101">
        <v>400000</v>
      </c>
      <c r="F22" s="8"/>
      <c r="G22" s="101">
        <v>400000</v>
      </c>
      <c r="I22" s="20">
        <v>5</v>
      </c>
      <c r="K22" s="125">
        <v>44958</v>
      </c>
      <c r="M22" s="126">
        <v>0.03</v>
      </c>
      <c r="O22" s="209">
        <f>+$E$22*$M$22</f>
        <v>12000</v>
      </c>
      <c r="P22" s="209">
        <f>+$E$22*$M$22</f>
        <v>12000</v>
      </c>
      <c r="Q22" s="209">
        <f t="shared" ref="Q22:S22" si="1">+$E$22*$M$22</f>
        <v>12000</v>
      </c>
      <c r="R22" s="209">
        <f t="shared" si="1"/>
        <v>12000</v>
      </c>
      <c r="S22" s="209">
        <f t="shared" si="1"/>
        <v>12000</v>
      </c>
      <c r="T22" s="11" t="s">
        <v>223</v>
      </c>
      <c r="U22" s="11"/>
    </row>
    <row r="23" spans="1:21" s="20" customFormat="1" x14ac:dyDescent="0.15">
      <c r="A23" s="109" t="s">
        <v>317</v>
      </c>
      <c r="C23" s="125">
        <v>43300</v>
      </c>
      <c r="E23" s="101">
        <v>3000000</v>
      </c>
      <c r="F23" s="8"/>
      <c r="G23" s="101">
        <v>1000000</v>
      </c>
      <c r="I23" s="20">
        <v>10</v>
      </c>
      <c r="K23" s="125">
        <v>46953</v>
      </c>
      <c r="M23" s="126">
        <v>2.5000000000000001E-2</v>
      </c>
      <c r="O23" s="209">
        <f>(+$E$23*$M$23*287/365)+G23*M23*78/365</f>
        <v>64315.068493150684</v>
      </c>
      <c r="P23" s="209">
        <f t="shared" ref="P23:Q23" si="2">+$E$23*$M$23</f>
        <v>75000</v>
      </c>
      <c r="Q23" s="209">
        <f t="shared" si="2"/>
        <v>75000</v>
      </c>
      <c r="R23" s="209">
        <f>(+$E$23-375000)*$M$23</f>
        <v>65625</v>
      </c>
      <c r="S23" s="209">
        <f>(+$E$23-750000)*$M$23</f>
        <v>56250</v>
      </c>
      <c r="T23" s="11"/>
      <c r="U23" s="11"/>
    </row>
    <row r="24" spans="1:21" s="8" customFormat="1" x14ac:dyDescent="0.15">
      <c r="A24" s="8" t="s">
        <v>174</v>
      </c>
      <c r="C24" s="153"/>
      <c r="E24" s="101"/>
      <c r="G24" s="101"/>
      <c r="K24" s="153"/>
      <c r="M24" s="154"/>
      <c r="O24" s="209"/>
      <c r="P24" s="209"/>
      <c r="Q24" s="209"/>
      <c r="R24" s="209"/>
      <c r="S24" s="209"/>
      <c r="T24" s="101"/>
      <c r="U24" s="101"/>
    </row>
    <row r="25" spans="1:21" s="8" customFormat="1" x14ac:dyDescent="0.15">
      <c r="A25" s="285" t="s">
        <v>319</v>
      </c>
      <c r="C25" s="153">
        <v>43672</v>
      </c>
      <c r="E25" s="101">
        <v>1000000</v>
      </c>
      <c r="G25" s="101">
        <v>0</v>
      </c>
      <c r="I25" s="8">
        <v>4</v>
      </c>
      <c r="K25" s="153">
        <v>45133</v>
      </c>
      <c r="M25" s="154">
        <v>0.03</v>
      </c>
      <c r="O25" s="209">
        <f>(1000000*0.03/360*159)</f>
        <v>13250</v>
      </c>
      <c r="P25" s="209">
        <f>+$E$25*$M$25</f>
        <v>30000</v>
      </c>
      <c r="Q25" s="209">
        <f>+$E$25*$M$25</f>
        <v>30000</v>
      </c>
      <c r="R25" s="209">
        <f>+$E$25*$M$25</f>
        <v>30000</v>
      </c>
      <c r="S25" s="209">
        <f>+$E$25*$M$25</f>
        <v>30000</v>
      </c>
      <c r="T25" s="101" t="s">
        <v>296</v>
      </c>
      <c r="U25" s="101"/>
    </row>
    <row r="26" spans="1:21" s="8" customFormat="1" x14ac:dyDescent="0.15">
      <c r="A26" s="285" t="s">
        <v>318</v>
      </c>
      <c r="C26" s="153">
        <v>43690</v>
      </c>
      <c r="E26" s="101">
        <v>363325</v>
      </c>
      <c r="G26" s="101">
        <v>0</v>
      </c>
      <c r="I26" s="8">
        <v>2.5</v>
      </c>
      <c r="K26" s="153">
        <v>44605</v>
      </c>
      <c r="M26" s="154">
        <v>3.7999999999999999E-2</v>
      </c>
      <c r="O26" s="209">
        <f>$E$26*$M$26*(131/360)</f>
        <v>5023.9773611111113</v>
      </c>
      <c r="P26" s="209">
        <f>+$E$26*$M$26</f>
        <v>13806.35</v>
      </c>
      <c r="Q26" s="209">
        <f>+$E$26*$M$26</f>
        <v>13806.35</v>
      </c>
      <c r="R26" s="209">
        <f>+$E$26*$M$26*44/360</f>
        <v>1687.4427777777778</v>
      </c>
      <c r="S26" s="209">
        <v>0</v>
      </c>
      <c r="T26" s="101"/>
      <c r="U26" s="101"/>
    </row>
    <row r="27" spans="1:21" s="8" customFormat="1" x14ac:dyDescent="0.15">
      <c r="A27" s="285" t="s">
        <v>320</v>
      </c>
      <c r="C27" s="153">
        <v>43723</v>
      </c>
      <c r="E27" s="101">
        <v>1000000</v>
      </c>
      <c r="G27" s="101">
        <v>0</v>
      </c>
      <c r="I27" s="8">
        <v>3</v>
      </c>
      <c r="K27" s="153">
        <v>44819</v>
      </c>
      <c r="M27" s="154">
        <v>4.2700000000000002E-2</v>
      </c>
      <c r="O27" s="209">
        <f>(1000000*0.0427/360*108)</f>
        <v>12810</v>
      </c>
      <c r="P27" s="209">
        <f>+$E$27*$M$27</f>
        <v>42700</v>
      </c>
      <c r="Q27" s="209">
        <f>+$E$27*$M$27</f>
        <v>42700</v>
      </c>
      <c r="R27" s="209">
        <f>+$E$27*$M$27</f>
        <v>42700</v>
      </c>
      <c r="S27" s="209">
        <f>+$E$27*$M$27</f>
        <v>42700</v>
      </c>
      <c r="T27" s="101"/>
      <c r="U27" s="101"/>
    </row>
    <row r="28" spans="1:21" s="8" customFormat="1" x14ac:dyDescent="0.15">
      <c r="A28" s="285" t="s">
        <v>321</v>
      </c>
      <c r="C28" s="153">
        <v>43721</v>
      </c>
      <c r="E28" s="101">
        <v>142176</v>
      </c>
      <c r="G28" s="101">
        <v>0</v>
      </c>
      <c r="I28" s="8">
        <v>2.5</v>
      </c>
      <c r="K28" s="153">
        <v>44633</v>
      </c>
      <c r="M28" s="154">
        <v>3.7999999999999999E-2</v>
      </c>
      <c r="O28" s="209">
        <f>$E$28*$M$28*(110/360)</f>
        <v>1650.8213333333335</v>
      </c>
      <c r="P28" s="209">
        <f>+$E$28*$M$28</f>
        <v>5402.6880000000001</v>
      </c>
      <c r="Q28" s="209">
        <f>+$E$28*$M$28</f>
        <v>5402.6880000000001</v>
      </c>
      <c r="R28" s="209">
        <f>+$E$28*$M$28*72/360</f>
        <v>1080.5376000000001</v>
      </c>
      <c r="S28" s="209">
        <v>0</v>
      </c>
      <c r="T28" s="101"/>
      <c r="U28" s="101"/>
    </row>
    <row r="29" spans="1:21" s="8" customFormat="1" x14ac:dyDescent="0.15">
      <c r="A29" s="285" t="s">
        <v>322</v>
      </c>
      <c r="C29" s="153">
        <v>43770</v>
      </c>
      <c r="E29" s="101">
        <v>2000000</v>
      </c>
      <c r="G29" s="101">
        <v>0</v>
      </c>
      <c r="I29" s="8">
        <v>10</v>
      </c>
      <c r="K29" s="153">
        <v>47423</v>
      </c>
      <c r="M29" s="154">
        <v>4.4999999999999998E-2</v>
      </c>
      <c r="O29" s="209">
        <f>$E$29*$M$29*(61/360)</f>
        <v>15250</v>
      </c>
      <c r="P29" s="209">
        <f>+$E$29*$M$29</f>
        <v>90000</v>
      </c>
      <c r="Q29" s="209">
        <f t="shared" ref="Q29:S29" si="3">+$E$29*$M$29</f>
        <v>90000</v>
      </c>
      <c r="R29" s="209">
        <f t="shared" si="3"/>
        <v>90000</v>
      </c>
      <c r="S29" s="209">
        <f t="shared" si="3"/>
        <v>90000</v>
      </c>
      <c r="T29" s="101"/>
      <c r="U29" s="101"/>
    </row>
    <row r="30" spans="1:21" s="8" customFormat="1" x14ac:dyDescent="0.15">
      <c r="C30" s="153"/>
      <c r="E30" s="101"/>
      <c r="G30" s="101"/>
      <c r="K30" s="153"/>
      <c r="M30" s="154"/>
      <c r="O30" s="209"/>
      <c r="P30" s="209"/>
      <c r="Q30" s="209"/>
      <c r="R30" s="209"/>
      <c r="S30" s="209"/>
      <c r="T30" s="101"/>
      <c r="U30" s="101"/>
    </row>
    <row r="31" spans="1:21" s="20" customFormat="1" x14ac:dyDescent="0.15">
      <c r="A31" s="20" t="s">
        <v>175</v>
      </c>
      <c r="C31" s="125">
        <v>44105</v>
      </c>
      <c r="E31" s="101">
        <v>3000000</v>
      </c>
      <c r="G31" s="101">
        <v>0</v>
      </c>
      <c r="I31" s="20">
        <v>10</v>
      </c>
      <c r="K31" s="125">
        <v>47757</v>
      </c>
      <c r="M31" s="126">
        <v>0.04</v>
      </c>
      <c r="O31" s="209">
        <v>0</v>
      </c>
      <c r="P31" s="209">
        <f>+E31*M31*0.25</f>
        <v>30000</v>
      </c>
      <c r="Q31" s="209">
        <f>+$E$31*$M$31</f>
        <v>120000</v>
      </c>
      <c r="R31" s="209">
        <f>+$E$31*$M$31</f>
        <v>120000</v>
      </c>
      <c r="S31" s="209">
        <f>+$E$31*$M$31</f>
        <v>120000</v>
      </c>
      <c r="T31" s="11"/>
      <c r="U31" s="11"/>
    </row>
    <row r="32" spans="1:21" s="20" customFormat="1" x14ac:dyDescent="0.15">
      <c r="A32" s="20" t="s">
        <v>176</v>
      </c>
      <c r="C32" s="125">
        <v>44378</v>
      </c>
      <c r="E32" s="101">
        <v>3000000</v>
      </c>
      <c r="G32" s="101">
        <v>0</v>
      </c>
      <c r="I32" s="20">
        <v>10</v>
      </c>
      <c r="K32" s="125">
        <v>48030</v>
      </c>
      <c r="M32" s="126">
        <v>0.04</v>
      </c>
      <c r="O32" s="209">
        <v>0</v>
      </c>
      <c r="P32" s="209">
        <v>0</v>
      </c>
      <c r="Q32" s="209">
        <f>+E32*M32*0.5</f>
        <v>60000</v>
      </c>
      <c r="R32" s="209">
        <f>+E32*M32</f>
        <v>120000</v>
      </c>
      <c r="S32" s="209">
        <f>+E32*M32</f>
        <v>120000</v>
      </c>
      <c r="T32" s="11"/>
      <c r="U32" s="11"/>
    </row>
    <row r="33" spans="1:21" s="20" customFormat="1" x14ac:dyDescent="0.15">
      <c r="A33" s="20" t="s">
        <v>188</v>
      </c>
      <c r="C33" s="125">
        <v>44835</v>
      </c>
      <c r="E33" s="101">
        <v>3000000</v>
      </c>
      <c r="G33" s="101">
        <v>0</v>
      </c>
      <c r="I33" s="20">
        <v>10</v>
      </c>
      <c r="K33" s="125">
        <v>48488</v>
      </c>
      <c r="M33" s="126">
        <v>0.04</v>
      </c>
      <c r="O33" s="209">
        <v>0</v>
      </c>
      <c r="P33" s="209">
        <v>0</v>
      </c>
      <c r="Q33" s="209">
        <v>0</v>
      </c>
      <c r="R33" s="209">
        <f>+E33*M33*0.25</f>
        <v>30000</v>
      </c>
      <c r="S33" s="209">
        <f>+$E$33*$M$33</f>
        <v>120000</v>
      </c>
      <c r="T33" s="144"/>
      <c r="U33" s="144"/>
    </row>
    <row r="34" spans="1:21" s="20" customFormat="1" x14ac:dyDescent="0.15">
      <c r="A34" s="20" t="s">
        <v>224</v>
      </c>
      <c r="C34" s="125">
        <v>45108</v>
      </c>
      <c r="E34" s="101">
        <v>3000000</v>
      </c>
      <c r="G34" s="101">
        <v>0</v>
      </c>
      <c r="I34" s="20">
        <v>10</v>
      </c>
      <c r="K34" s="125">
        <v>48761</v>
      </c>
      <c r="M34" s="126">
        <v>0.04</v>
      </c>
      <c r="O34" s="208">
        <v>0</v>
      </c>
      <c r="P34" s="208">
        <v>0</v>
      </c>
      <c r="Q34" s="208">
        <v>0</v>
      </c>
      <c r="R34" s="208">
        <v>0</v>
      </c>
      <c r="S34" s="208">
        <f>+$E$34*$M$34*0.5</f>
        <v>60000</v>
      </c>
      <c r="T34" s="11"/>
      <c r="U34" s="11"/>
    </row>
    <row r="35" spans="1:21" x14ac:dyDescent="0.15">
      <c r="E35" s="11"/>
      <c r="G35" s="11"/>
      <c r="M35" s="126"/>
      <c r="O35" s="101">
        <f>+O4+O13+O15+O16+O17+O18+O19+O20+O22+O23+O24+O31+O32+O33+O34+O25+O26+O27+O29+O28</f>
        <v>395070.11643972015</v>
      </c>
      <c r="P35" s="101">
        <f t="shared" ref="P35:S35" si="4">+P4+P13+P15+P16+P17+P18+P19+P20+P22+P23+P24+P31+P32+P33+P34+P25+P26+P27+P29+P28</f>
        <v>553264.00705374999</v>
      </c>
      <c r="Q35" s="101">
        <f>+Q4+Q13+Q15+Q16+Q17+Q18+Q19+Q20+Q22+Q23+Q24+Q31+Q32+Q33+Q34+Q25+Q26+Q27+Q29+Q28</f>
        <v>679567.81398187496</v>
      </c>
      <c r="R35" s="101">
        <f>+R4+R13+R15+R16+R17+R18+R19+R20+R22+R23+R24+R31+R32+R33+R34+R25+R26+R27+R29+R28</f>
        <v>718965.94600777782</v>
      </c>
      <c r="S35" s="101">
        <f t="shared" si="4"/>
        <v>834543.11635625002</v>
      </c>
      <c r="T35" s="11"/>
      <c r="U35" s="11"/>
    </row>
    <row r="36" spans="1:21" s="8" customFormat="1" x14ac:dyDescent="0.15">
      <c r="A36" s="8" t="s">
        <v>323</v>
      </c>
      <c r="C36" s="153">
        <v>43517</v>
      </c>
      <c r="E36" s="101">
        <v>975000</v>
      </c>
      <c r="G36" s="101">
        <v>0</v>
      </c>
      <c r="I36" s="8">
        <v>7</v>
      </c>
      <c r="K36" s="153">
        <v>46074</v>
      </c>
      <c r="M36" s="154">
        <f>0.0525-0.0065</f>
        <v>4.5999999999999999E-2</v>
      </c>
      <c r="O36" s="208">
        <f>+$E$36*$M$36*(285/360)</f>
        <v>35506.25</v>
      </c>
      <c r="P36" s="208">
        <f>SUM('Loan Amortization Schedule'!$H$28:$H$39)</f>
        <v>43026.372757138641</v>
      </c>
      <c r="Q36" s="208">
        <f>SUM('Loan Amortization Schedule'!$H$40:$H$51)</f>
        <v>41540.478873767875</v>
      </c>
      <c r="R36" s="208">
        <f>SUM('Loan Amortization Schedule'!$H$52:$H$63)</f>
        <v>39984.774228883056</v>
      </c>
      <c r="S36" s="208">
        <f>SUM('Loan Amortization Schedule'!$H$64:$H$75)</f>
        <v>38355.978950026474</v>
      </c>
      <c r="T36" s="101"/>
      <c r="U36" s="101"/>
    </row>
    <row r="37" spans="1:21" x14ac:dyDescent="0.15">
      <c r="A37" t="s">
        <v>178</v>
      </c>
      <c r="E37" s="11"/>
      <c r="G37" s="11"/>
      <c r="M37" s="126"/>
      <c r="O37" s="101">
        <f>+O35+O36</f>
        <v>430576.36643972015</v>
      </c>
      <c r="P37" s="101">
        <f>+P35+P36</f>
        <v>596290.37981088867</v>
      </c>
      <c r="Q37" s="101">
        <f>+Q35+Q36</f>
        <v>721108.29285564285</v>
      </c>
      <c r="R37" s="101">
        <f>+R35+R36</f>
        <v>758950.72023666091</v>
      </c>
      <c r="S37" s="101">
        <f>+S35+S36</f>
        <v>872899.09530627646</v>
      </c>
      <c r="T37" s="11"/>
      <c r="U37" s="11"/>
    </row>
    <row r="38" spans="1:21" x14ac:dyDescent="0.15">
      <c r="E38" s="11"/>
      <c r="G38" s="11"/>
      <c r="M38" s="126"/>
      <c r="O38" s="101"/>
      <c r="P38" s="101"/>
      <c r="Q38" s="101"/>
      <c r="R38" s="101"/>
      <c r="S38" s="101"/>
      <c r="T38" s="11"/>
      <c r="U38" s="11"/>
    </row>
    <row r="39" spans="1:21" x14ac:dyDescent="0.15">
      <c r="A39" s="8"/>
      <c r="B39" s="8"/>
      <c r="C39" s="8"/>
      <c r="D39" s="8"/>
      <c r="E39" s="101"/>
      <c r="G39" s="11"/>
      <c r="M39" s="126"/>
      <c r="O39" s="101"/>
      <c r="P39" s="101"/>
      <c r="Q39" s="101"/>
      <c r="R39" s="101"/>
      <c r="S39" s="101"/>
      <c r="T39" s="11"/>
      <c r="U39" s="11"/>
    </row>
    <row r="40" spans="1:21" x14ac:dyDescent="0.15">
      <c r="E40" s="11"/>
      <c r="G40" s="11"/>
      <c r="M40" s="126"/>
      <c r="O40" s="101"/>
      <c r="P40" s="101"/>
      <c r="Q40" s="101"/>
      <c r="R40" s="101"/>
      <c r="S40" s="101"/>
      <c r="T40" s="11"/>
      <c r="U40" s="11"/>
    </row>
    <row r="41" spans="1:21" x14ac:dyDescent="0.15">
      <c r="E41" s="11"/>
      <c r="G41" s="11"/>
      <c r="M41" s="126"/>
      <c r="O41" s="101"/>
      <c r="P41" s="101"/>
      <c r="Q41" s="101"/>
      <c r="R41" s="101"/>
      <c r="S41" s="101"/>
      <c r="T41" s="11"/>
      <c r="U41" s="11"/>
    </row>
    <row r="42" spans="1:21" x14ac:dyDescent="0.15">
      <c r="E42" s="11"/>
      <c r="G42" s="11"/>
      <c r="M42" s="126"/>
      <c r="O42" s="101"/>
      <c r="P42" s="101"/>
      <c r="Q42" s="101"/>
      <c r="R42" s="101"/>
      <c r="S42" s="101"/>
      <c r="T42" s="11"/>
      <c r="U42" s="11"/>
    </row>
    <row r="43" spans="1:21" x14ac:dyDescent="0.15">
      <c r="G43" s="11"/>
      <c r="M43" s="126"/>
      <c r="O43" s="101"/>
      <c r="P43" s="101"/>
      <c r="Q43" s="11"/>
      <c r="R43" s="11"/>
      <c r="S43" s="11"/>
      <c r="T43" s="11"/>
      <c r="U43" s="11"/>
    </row>
    <row r="44" spans="1:21" x14ac:dyDescent="0.15">
      <c r="G44" s="11"/>
      <c r="M44" s="126"/>
      <c r="O44" s="11"/>
    </row>
    <row r="45" spans="1:21" x14ac:dyDescent="0.15">
      <c r="G45" s="11"/>
      <c r="M45" s="126"/>
      <c r="O45" s="11"/>
    </row>
    <row r="46" spans="1:21" x14ac:dyDescent="0.15">
      <c r="G46" s="11"/>
      <c r="M46" s="126"/>
      <c r="O46" s="11"/>
    </row>
    <row r="47" spans="1:21" x14ac:dyDescent="0.15">
      <c r="G47" s="11"/>
      <c r="M47" s="126"/>
      <c r="O47" s="11"/>
    </row>
    <row r="48" spans="1:21" x14ac:dyDescent="0.15">
      <c r="G48" s="11"/>
      <c r="M48" s="126"/>
      <c r="O48" s="11"/>
    </row>
    <row r="49" spans="7:13" x14ac:dyDescent="0.15">
      <c r="G49" s="11"/>
      <c r="M49" s="126"/>
    </row>
    <row r="50" spans="7:13" x14ac:dyDescent="0.15">
      <c r="G50" s="11"/>
      <c r="M50" s="126"/>
    </row>
    <row r="51" spans="7:13" x14ac:dyDescent="0.15">
      <c r="G51" s="11"/>
      <c r="M51" s="126"/>
    </row>
    <row r="52" spans="7:13" x14ac:dyDescent="0.15">
      <c r="G52" s="11"/>
      <c r="M52" s="126"/>
    </row>
    <row r="53" spans="7:13" x14ac:dyDescent="0.15">
      <c r="G53" s="11"/>
      <c r="M53" s="126"/>
    </row>
    <row r="54" spans="7:13" x14ac:dyDescent="0.15">
      <c r="G54" s="11"/>
      <c r="M54" s="126"/>
    </row>
    <row r="55" spans="7:13" x14ac:dyDescent="0.15">
      <c r="G55" s="11"/>
      <c r="M55" s="126"/>
    </row>
    <row r="56" spans="7:13" x14ac:dyDescent="0.15">
      <c r="G56" s="11"/>
      <c r="M56" s="126"/>
    </row>
    <row r="57" spans="7:13" x14ac:dyDescent="0.15">
      <c r="G57" s="11"/>
      <c r="M57" s="126"/>
    </row>
    <row r="58" spans="7:13" x14ac:dyDescent="0.15">
      <c r="G58" s="11"/>
      <c r="M58" s="126"/>
    </row>
    <row r="59" spans="7:13" x14ac:dyDescent="0.15">
      <c r="G59" s="11"/>
      <c r="M59" s="126"/>
    </row>
    <row r="60" spans="7:13" x14ac:dyDescent="0.15">
      <c r="G60" s="11"/>
      <c r="M60" s="126"/>
    </row>
    <row r="61" spans="7:13" x14ac:dyDescent="0.15">
      <c r="G61" s="11"/>
      <c r="M61" s="126"/>
    </row>
    <row r="62" spans="7:13" x14ac:dyDescent="0.15">
      <c r="G62" s="11"/>
      <c r="M62" s="127"/>
    </row>
    <row r="63" spans="7:13" x14ac:dyDescent="0.15">
      <c r="G63" s="11"/>
      <c r="M63" s="127"/>
    </row>
    <row r="64" spans="7:13" x14ac:dyDescent="0.15">
      <c r="G64" s="11"/>
      <c r="M64" s="127"/>
    </row>
    <row r="65" spans="7:13" x14ac:dyDescent="0.15">
      <c r="G65" s="11"/>
      <c r="M65" s="127"/>
    </row>
    <row r="66" spans="7:13" x14ac:dyDescent="0.15">
      <c r="G66" s="11"/>
      <c r="M66" s="127"/>
    </row>
    <row r="67" spans="7:13" x14ac:dyDescent="0.15">
      <c r="G67" s="11"/>
      <c r="M67" s="127"/>
    </row>
    <row r="68" spans="7:13" x14ac:dyDescent="0.15">
      <c r="G68" s="11"/>
      <c r="M68" s="127"/>
    </row>
    <row r="69" spans="7:13" x14ac:dyDescent="0.15">
      <c r="G69" s="11"/>
      <c r="M69" s="127"/>
    </row>
    <row r="70" spans="7:13" x14ac:dyDescent="0.15">
      <c r="G70" s="11"/>
      <c r="M70" s="127"/>
    </row>
    <row r="71" spans="7:13" x14ac:dyDescent="0.15">
      <c r="G71" s="11"/>
      <c r="M71" s="127"/>
    </row>
    <row r="72" spans="7:13" x14ac:dyDescent="0.15">
      <c r="G72" s="11"/>
      <c r="M72" s="127"/>
    </row>
    <row r="73" spans="7:13" x14ac:dyDescent="0.15">
      <c r="G73" s="11"/>
      <c r="M73" s="127"/>
    </row>
    <row r="74" spans="7:13" x14ac:dyDescent="0.15">
      <c r="G74" s="11"/>
      <c r="M74" s="127"/>
    </row>
    <row r="75" spans="7:13" x14ac:dyDescent="0.15">
      <c r="G75" s="11"/>
      <c r="M75" s="127"/>
    </row>
    <row r="76" spans="7:13" x14ac:dyDescent="0.15">
      <c r="G76" s="11"/>
      <c r="M76" s="127"/>
    </row>
    <row r="77" spans="7:13" x14ac:dyDescent="0.15">
      <c r="G77" s="11"/>
      <c r="M77" s="127"/>
    </row>
    <row r="78" spans="7:13" x14ac:dyDescent="0.15">
      <c r="G78" s="11"/>
      <c r="M78" s="127"/>
    </row>
    <row r="79" spans="7:13" x14ac:dyDescent="0.15">
      <c r="G79" s="11"/>
      <c r="M79" s="127"/>
    </row>
    <row r="80" spans="7:13" x14ac:dyDescent="0.15">
      <c r="G80" s="11"/>
      <c r="M80" s="127"/>
    </row>
    <row r="81" spans="7:13" x14ac:dyDescent="0.15">
      <c r="G81" s="11"/>
      <c r="M81" s="127"/>
    </row>
    <row r="82" spans="7:13" x14ac:dyDescent="0.15">
      <c r="G82" s="11"/>
      <c r="M82" s="127"/>
    </row>
    <row r="83" spans="7:13" x14ac:dyDescent="0.15">
      <c r="G83" s="11"/>
      <c r="M83" s="127"/>
    </row>
    <row r="84" spans="7:13" x14ac:dyDescent="0.15">
      <c r="G84" s="11"/>
      <c r="M84" s="127"/>
    </row>
    <row r="85" spans="7:13" x14ac:dyDescent="0.15">
      <c r="G85" s="11"/>
      <c r="M85" s="127"/>
    </row>
    <row r="86" spans="7:13" x14ac:dyDescent="0.15">
      <c r="G86" s="11"/>
      <c r="M86" s="127"/>
    </row>
    <row r="87" spans="7:13" x14ac:dyDescent="0.15">
      <c r="G87" s="11"/>
      <c r="M87" s="127"/>
    </row>
    <row r="88" spans="7:13" x14ac:dyDescent="0.15">
      <c r="G88" s="11"/>
      <c r="M88" s="127"/>
    </row>
    <row r="89" spans="7:13" x14ac:dyDescent="0.15">
      <c r="G89" s="11"/>
      <c r="M89" s="127"/>
    </row>
    <row r="90" spans="7:13" x14ac:dyDescent="0.15">
      <c r="G90" s="11"/>
      <c r="M90" s="127"/>
    </row>
    <row r="91" spans="7:13" x14ac:dyDescent="0.15">
      <c r="G91" s="11"/>
      <c r="M91" s="127"/>
    </row>
    <row r="92" spans="7:13" x14ac:dyDescent="0.15">
      <c r="G92" s="11"/>
      <c r="M92" s="127"/>
    </row>
    <row r="93" spans="7:13" x14ac:dyDescent="0.15">
      <c r="G93" s="11"/>
      <c r="M93" s="127"/>
    </row>
    <row r="94" spans="7:13" x14ac:dyDescent="0.15">
      <c r="G94" s="11"/>
      <c r="M94" s="127"/>
    </row>
    <row r="95" spans="7:13" x14ac:dyDescent="0.15">
      <c r="G95" s="11"/>
      <c r="M95" s="127"/>
    </row>
    <row r="96" spans="7:13" x14ac:dyDescent="0.15">
      <c r="G96" s="11"/>
      <c r="M96" s="127"/>
    </row>
    <row r="97" spans="7:13" x14ac:dyDescent="0.15">
      <c r="G97" s="11"/>
      <c r="M97" s="127"/>
    </row>
    <row r="98" spans="7:13" x14ac:dyDescent="0.15">
      <c r="G98" s="11"/>
      <c r="M98" s="127"/>
    </row>
    <row r="99" spans="7:13" x14ac:dyDescent="0.15">
      <c r="G99" s="11"/>
      <c r="M99" s="127"/>
    </row>
    <row r="100" spans="7:13" x14ac:dyDescent="0.15">
      <c r="G100" s="11"/>
      <c r="M100" s="127"/>
    </row>
    <row r="101" spans="7:13" x14ac:dyDescent="0.15">
      <c r="G101" s="11"/>
      <c r="M101" s="127"/>
    </row>
    <row r="102" spans="7:13" x14ac:dyDescent="0.15">
      <c r="G102" s="11"/>
      <c r="M102" s="127"/>
    </row>
    <row r="103" spans="7:13" x14ac:dyDescent="0.15">
      <c r="G103" s="11"/>
      <c r="M103" s="127"/>
    </row>
    <row r="104" spans="7:13" x14ac:dyDescent="0.15">
      <c r="G104" s="11"/>
      <c r="M104" s="127"/>
    </row>
    <row r="105" spans="7:13" x14ac:dyDescent="0.15">
      <c r="G105" s="11"/>
      <c r="M105" s="127"/>
    </row>
    <row r="106" spans="7:13" x14ac:dyDescent="0.15">
      <c r="G106" s="11"/>
      <c r="M106" s="127"/>
    </row>
    <row r="107" spans="7:13" x14ac:dyDescent="0.15">
      <c r="G107" s="11"/>
      <c r="M107" s="127"/>
    </row>
    <row r="108" spans="7:13" x14ac:dyDescent="0.15">
      <c r="G108" s="11"/>
      <c r="M108" s="127"/>
    </row>
    <row r="109" spans="7:13" x14ac:dyDescent="0.15">
      <c r="G109" s="11"/>
      <c r="M109" s="127"/>
    </row>
    <row r="110" spans="7:13" x14ac:dyDescent="0.15">
      <c r="G110" s="11"/>
      <c r="M110" s="127"/>
    </row>
    <row r="111" spans="7:13" x14ac:dyDescent="0.15">
      <c r="G111" s="11"/>
      <c r="M111" s="127"/>
    </row>
    <row r="112" spans="7:13" x14ac:dyDescent="0.15">
      <c r="G112" s="11"/>
      <c r="M112" s="127"/>
    </row>
    <row r="113" spans="7:13" x14ac:dyDescent="0.15">
      <c r="G113" s="11"/>
      <c r="M113" s="127"/>
    </row>
    <row r="114" spans="7:13" x14ac:dyDescent="0.15">
      <c r="G114" s="11"/>
      <c r="M114" s="127"/>
    </row>
    <row r="115" spans="7:13" x14ac:dyDescent="0.15">
      <c r="G115" s="11"/>
      <c r="M115" s="127"/>
    </row>
    <row r="116" spans="7:13" x14ac:dyDescent="0.15">
      <c r="G116" s="11"/>
      <c r="M116" s="127"/>
    </row>
    <row r="117" spans="7:13" x14ac:dyDescent="0.15">
      <c r="G117" s="11"/>
      <c r="M117" s="127"/>
    </row>
    <row r="118" spans="7:13" x14ac:dyDescent="0.15">
      <c r="G118" s="11"/>
      <c r="M118" s="127"/>
    </row>
    <row r="119" spans="7:13" x14ac:dyDescent="0.15">
      <c r="G119" s="11"/>
      <c r="M119" s="127"/>
    </row>
    <row r="120" spans="7:13" x14ac:dyDescent="0.15">
      <c r="G120" s="11"/>
      <c r="M120" s="127"/>
    </row>
    <row r="121" spans="7:13" x14ac:dyDescent="0.15">
      <c r="G121" s="11"/>
      <c r="M121" s="127"/>
    </row>
    <row r="122" spans="7:13" x14ac:dyDescent="0.15">
      <c r="G122" s="11"/>
      <c r="M122" s="127"/>
    </row>
    <row r="123" spans="7:13" x14ac:dyDescent="0.15">
      <c r="G123" s="11"/>
      <c r="M123" s="127"/>
    </row>
    <row r="124" spans="7:13" x14ac:dyDescent="0.15">
      <c r="G124" s="11"/>
      <c r="M124" s="127"/>
    </row>
    <row r="125" spans="7:13" x14ac:dyDescent="0.15">
      <c r="G125" s="11"/>
      <c r="M125" s="127"/>
    </row>
    <row r="126" spans="7:13" x14ac:dyDescent="0.15">
      <c r="G126" s="11"/>
      <c r="M126" s="127"/>
    </row>
    <row r="127" spans="7:13" x14ac:dyDescent="0.15">
      <c r="G127" s="11"/>
      <c r="M127" s="127"/>
    </row>
    <row r="128" spans="7:13" x14ac:dyDescent="0.15">
      <c r="G128" s="11"/>
      <c r="M128" s="127"/>
    </row>
    <row r="129" spans="7:13" x14ac:dyDescent="0.15">
      <c r="G129" s="11"/>
      <c r="M129" s="127"/>
    </row>
    <row r="130" spans="7:13" x14ac:dyDescent="0.15">
      <c r="G130" s="11"/>
      <c r="M130" s="127"/>
    </row>
    <row r="131" spans="7:13" x14ac:dyDescent="0.15">
      <c r="G131" s="11"/>
      <c r="M131" s="127"/>
    </row>
    <row r="132" spans="7:13" x14ac:dyDescent="0.15">
      <c r="G132" s="11"/>
      <c r="M132" s="127"/>
    </row>
    <row r="133" spans="7:13" x14ac:dyDescent="0.15">
      <c r="G133" s="11"/>
      <c r="M133" s="127"/>
    </row>
    <row r="134" spans="7:13" x14ac:dyDescent="0.15">
      <c r="G134" s="11"/>
      <c r="M134" s="127"/>
    </row>
    <row r="135" spans="7:13" x14ac:dyDescent="0.15">
      <c r="G135" s="11"/>
      <c r="M135" s="127"/>
    </row>
    <row r="136" spans="7:13" x14ac:dyDescent="0.15">
      <c r="G136" s="11"/>
      <c r="M136" s="127"/>
    </row>
    <row r="137" spans="7:13" x14ac:dyDescent="0.15">
      <c r="G137" s="11"/>
      <c r="M137" s="127"/>
    </row>
    <row r="138" spans="7:13" x14ac:dyDescent="0.15">
      <c r="G138" s="11"/>
      <c r="M138" s="127"/>
    </row>
    <row r="139" spans="7:13" x14ac:dyDescent="0.15">
      <c r="G139" s="11"/>
      <c r="M139" s="127"/>
    </row>
    <row r="140" spans="7:13" x14ac:dyDescent="0.15">
      <c r="G140" s="11"/>
      <c r="M140" s="127"/>
    </row>
    <row r="141" spans="7:13" x14ac:dyDescent="0.15">
      <c r="G141" s="11"/>
      <c r="M141" s="127"/>
    </row>
    <row r="142" spans="7:13" x14ac:dyDescent="0.15">
      <c r="G142" s="11"/>
      <c r="M142" s="127"/>
    </row>
    <row r="143" spans="7:13" x14ac:dyDescent="0.15">
      <c r="G143" s="11"/>
      <c r="M143" s="127"/>
    </row>
    <row r="144" spans="7:13" x14ac:dyDescent="0.15">
      <c r="G144" s="11"/>
      <c r="M144" s="127"/>
    </row>
    <row r="145" spans="7:13" x14ac:dyDescent="0.15">
      <c r="G145" s="11"/>
      <c r="M145" s="127"/>
    </row>
    <row r="146" spans="7:13" x14ac:dyDescent="0.15">
      <c r="G146" s="11"/>
      <c r="M146" s="127"/>
    </row>
    <row r="147" spans="7:13" x14ac:dyDescent="0.15">
      <c r="G147" s="11"/>
      <c r="M147" s="127"/>
    </row>
    <row r="148" spans="7:13" x14ac:dyDescent="0.15">
      <c r="G148" s="11"/>
      <c r="M148" s="127"/>
    </row>
    <row r="149" spans="7:13" x14ac:dyDescent="0.15">
      <c r="G149" s="11"/>
      <c r="M149" s="127"/>
    </row>
    <row r="150" spans="7:13" x14ac:dyDescent="0.15">
      <c r="G150" s="11"/>
      <c r="M150" s="127"/>
    </row>
    <row r="151" spans="7:13" x14ac:dyDescent="0.15">
      <c r="G151" s="11"/>
      <c r="M151" s="127"/>
    </row>
    <row r="152" spans="7:13" x14ac:dyDescent="0.15">
      <c r="G152" s="11"/>
      <c r="M152" s="127"/>
    </row>
    <row r="153" spans="7:13" x14ac:dyDescent="0.15">
      <c r="G153" s="11"/>
      <c r="M153" s="127"/>
    </row>
    <row r="154" spans="7:13" x14ac:dyDescent="0.15">
      <c r="M154" s="127"/>
    </row>
    <row r="155" spans="7:13" x14ac:dyDescent="0.15">
      <c r="M155" s="127"/>
    </row>
    <row r="156" spans="7:13" x14ac:dyDescent="0.15">
      <c r="M156" s="127"/>
    </row>
    <row r="157" spans="7:13" x14ac:dyDescent="0.15">
      <c r="M157" s="127"/>
    </row>
  </sheetData>
  <sortState ref="A13:Q17">
    <sortCondition ref="C13:C17"/>
  </sortState>
  <pageMargins left="0.7" right="0.7" top="0.75" bottom="0.75" header="0.3" footer="0.3"/>
  <pageSetup scale="50" orientation="landscape" r:id="rId1"/>
  <ignoredErrors>
    <ignoredError sqref="O1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7"/>
  <sheetViews>
    <sheetView showGridLines="0" zoomScaleNormal="100" workbookViewId="0">
      <pane ySplit="17" topLeftCell="A114" activePane="bottomLeft" state="frozenSplit"/>
      <selection pane="bottomLeft" activeCell="H40" sqref="H40:H51"/>
    </sheetView>
  </sheetViews>
  <sheetFormatPr defaultRowHeight="12.75" x14ac:dyDescent="0.2"/>
  <cols>
    <col min="1" max="1" width="7.33203125" style="217" customWidth="1"/>
    <col min="2" max="2" width="18.33203125" style="216" customWidth="1"/>
    <col min="3" max="3" width="25.33203125" style="216" customWidth="1"/>
    <col min="4" max="8" width="17.1640625" style="216" customWidth="1"/>
    <col min="9" max="10" width="25.33203125" style="216" customWidth="1"/>
    <col min="11" max="16384" width="9.33203125" style="215"/>
  </cols>
  <sheetData>
    <row r="1" spans="1:10" ht="24" customHeight="1" x14ac:dyDescent="0.35">
      <c r="A1" s="250" t="s">
        <v>241</v>
      </c>
      <c r="B1" s="249"/>
      <c r="C1" s="249"/>
      <c r="D1" s="249"/>
      <c r="E1" s="236"/>
      <c r="F1" s="236"/>
      <c r="G1" s="236"/>
      <c r="H1" s="236"/>
      <c r="I1" s="236"/>
      <c r="J1" s="236"/>
    </row>
    <row r="2" spans="1:10" ht="3" customHeight="1" x14ac:dyDescent="0.2">
      <c r="A2" s="232"/>
      <c r="B2" s="231"/>
      <c r="C2" s="231"/>
      <c r="D2" s="231"/>
      <c r="E2" s="231"/>
      <c r="F2" s="231"/>
      <c r="G2" s="231"/>
      <c r="H2" s="231"/>
      <c r="I2" s="231"/>
      <c r="J2" s="231"/>
    </row>
    <row r="3" spans="1:10" ht="20.25" customHeight="1" x14ac:dyDescent="0.2">
      <c r="A3" s="236"/>
      <c r="B3" s="233"/>
      <c r="C3" s="233"/>
      <c r="D3" s="233"/>
      <c r="E3" s="233"/>
      <c r="F3" s="233"/>
      <c r="G3" s="233"/>
      <c r="H3" s="233"/>
      <c r="I3" s="233"/>
      <c r="J3" s="233"/>
    </row>
    <row r="4" spans="1:10" ht="14.25" customHeight="1" x14ac:dyDescent="0.2">
      <c r="A4" s="236"/>
      <c r="B4" s="288" t="s">
        <v>242</v>
      </c>
      <c r="C4" s="289"/>
      <c r="D4" s="290"/>
      <c r="E4" s="236"/>
      <c r="F4" s="215"/>
      <c r="G4" s="215"/>
      <c r="H4" s="288" t="s">
        <v>243</v>
      </c>
      <c r="I4" s="289"/>
      <c r="J4" s="290"/>
    </row>
    <row r="5" spans="1:10" x14ac:dyDescent="0.2">
      <c r="A5" s="236"/>
      <c r="B5" s="245"/>
      <c r="C5" s="244" t="s">
        <v>244</v>
      </c>
      <c r="D5" s="239">
        <v>975000</v>
      </c>
      <c r="E5" s="236"/>
      <c r="F5" s="215"/>
      <c r="G5" s="215"/>
      <c r="H5" s="245"/>
      <c r="I5" s="244" t="s">
        <v>245</v>
      </c>
      <c r="J5" s="242">
        <f>IF(Values_Entered,-PMT(Interest_Rate/Num_Pmt_Per_Year,Loan_Years*Num_Pmt_Per_Year,Loan_Amount),"")</f>
        <v>6221.0853634570531</v>
      </c>
    </row>
    <row r="6" spans="1:10" x14ac:dyDescent="0.2">
      <c r="A6" s="236"/>
      <c r="B6" s="245"/>
      <c r="C6" s="244" t="s">
        <v>246</v>
      </c>
      <c r="D6" s="248">
        <v>4.5999999999999999E-2</v>
      </c>
      <c r="E6" s="236"/>
      <c r="F6" s="215"/>
      <c r="G6" s="215"/>
      <c r="H6" s="245"/>
      <c r="I6" s="244" t="s">
        <v>247</v>
      </c>
      <c r="J6" s="247">
        <f>IF(Values_Entered,Loan_Years*Num_Pmt_Per_Year,"")</f>
        <v>240</v>
      </c>
    </row>
    <row r="7" spans="1:10" x14ac:dyDescent="0.2">
      <c r="A7" s="236"/>
      <c r="B7" s="245"/>
      <c r="C7" s="244" t="s">
        <v>248</v>
      </c>
      <c r="D7" s="246">
        <v>20</v>
      </c>
      <c r="E7" s="236"/>
      <c r="F7" s="215"/>
      <c r="G7" s="215"/>
      <c r="H7" s="245"/>
      <c r="I7" s="244" t="s">
        <v>249</v>
      </c>
      <c r="J7" s="247">
        <f>IF(Values_Entered,Number_of_Payments,"")</f>
        <v>240</v>
      </c>
    </row>
    <row r="8" spans="1:10" x14ac:dyDescent="0.2">
      <c r="A8" s="236"/>
      <c r="B8" s="245"/>
      <c r="C8" s="244" t="s">
        <v>250</v>
      </c>
      <c r="D8" s="246">
        <v>12</v>
      </c>
      <c r="E8" s="236"/>
      <c r="F8" s="215"/>
      <c r="G8" s="215"/>
      <c r="H8" s="245"/>
      <c r="I8" s="244" t="s">
        <v>251</v>
      </c>
      <c r="J8" s="242">
        <f>IF(Values_Entered,SUMIF(Beg_Bal,"&gt;0",Extra_Pay),"")</f>
        <v>0</v>
      </c>
    </row>
    <row r="9" spans="1:10" x14ac:dyDescent="0.2">
      <c r="A9" s="236"/>
      <c r="B9" s="245"/>
      <c r="C9" s="244" t="s">
        <v>252</v>
      </c>
      <c r="D9" s="243">
        <v>43517</v>
      </c>
      <c r="E9" s="236"/>
      <c r="F9" s="215"/>
      <c r="G9" s="215"/>
      <c r="H9" s="241"/>
      <c r="I9" s="240" t="s">
        <v>253</v>
      </c>
      <c r="J9" s="242">
        <f>IF(Values_Entered,SUMIF(Beg_Bal,"&gt;0",Int),"")</f>
        <v>518060.48722969193</v>
      </c>
    </row>
    <row r="10" spans="1:10" x14ac:dyDescent="0.2">
      <c r="A10" s="236"/>
      <c r="B10" s="241"/>
      <c r="C10" s="240" t="s">
        <v>254</v>
      </c>
      <c r="D10" s="239"/>
      <c r="E10" s="236"/>
      <c r="F10" s="233"/>
      <c r="G10" s="233"/>
      <c r="H10" s="233"/>
      <c r="I10" s="233"/>
      <c r="J10" s="238"/>
    </row>
    <row r="11" spans="1:10" x14ac:dyDescent="0.2">
      <c r="A11" s="236"/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x14ac:dyDescent="0.2">
      <c r="A12" s="236"/>
      <c r="B12" s="235" t="s">
        <v>255</v>
      </c>
      <c r="C12" s="286"/>
      <c r="D12" s="287"/>
      <c r="E12" s="237"/>
      <c r="F12" s="233"/>
      <c r="G12" s="233"/>
      <c r="H12" s="233"/>
      <c r="I12" s="233"/>
      <c r="J12" s="233"/>
    </row>
    <row r="13" spans="1:10" x14ac:dyDescent="0.2">
      <c r="A13" s="236"/>
      <c r="B13" s="235"/>
      <c r="C13" s="234"/>
      <c r="D13" s="234"/>
      <c r="E13" s="233"/>
      <c r="F13" s="233"/>
      <c r="G13" s="233"/>
      <c r="H13" s="233"/>
      <c r="I13" s="233"/>
      <c r="J13" s="233"/>
    </row>
    <row r="14" spans="1:10" ht="6" customHeight="1" x14ac:dyDescent="0.2">
      <c r="A14" s="232"/>
      <c r="B14" s="231"/>
      <c r="C14" s="231"/>
      <c r="D14" s="231"/>
      <c r="E14" s="231"/>
      <c r="F14" s="231"/>
      <c r="G14" s="231"/>
      <c r="H14" s="231"/>
      <c r="I14" s="231"/>
      <c r="J14" s="231"/>
    </row>
    <row r="15" spans="1:10" ht="3.75" customHeight="1" x14ac:dyDescent="0.25">
      <c r="A15" s="230"/>
      <c r="B15" s="229"/>
      <c r="C15" s="229"/>
      <c r="D15" s="229"/>
      <c r="E15" s="229"/>
      <c r="F15" s="229"/>
      <c r="G15" s="229"/>
      <c r="H15" s="229"/>
      <c r="I15" s="229"/>
      <c r="J15" s="229"/>
    </row>
    <row r="16" spans="1:10" s="222" customFormat="1" ht="25.5" x14ac:dyDescent="0.2">
      <c r="A16" s="228" t="s">
        <v>256</v>
      </c>
      <c r="B16" s="227" t="s">
        <v>257</v>
      </c>
      <c r="C16" s="227" t="s">
        <v>258</v>
      </c>
      <c r="D16" s="227" t="s">
        <v>259</v>
      </c>
      <c r="E16" s="227" t="s">
        <v>260</v>
      </c>
      <c r="F16" s="227" t="s">
        <v>261</v>
      </c>
      <c r="G16" s="227" t="s">
        <v>262</v>
      </c>
      <c r="H16" s="227" t="s">
        <v>263</v>
      </c>
      <c r="I16" s="227" t="s">
        <v>264</v>
      </c>
      <c r="J16" s="226" t="s">
        <v>265</v>
      </c>
    </row>
    <row r="17" spans="1:10" s="222" customFormat="1" ht="6" customHeight="1" x14ac:dyDescent="0.25">
      <c r="A17" s="225"/>
      <c r="B17" s="224"/>
      <c r="C17" s="224"/>
      <c r="D17" s="224"/>
      <c r="E17" s="224"/>
      <c r="F17" s="224"/>
      <c r="G17" s="224"/>
      <c r="H17" s="224"/>
      <c r="I17" s="224"/>
      <c r="J17" s="223"/>
    </row>
    <row r="18" spans="1:10" s="222" customFormat="1" x14ac:dyDescent="0.2">
      <c r="A18" s="221">
        <f>IF(Values_Entered,1,"")</f>
        <v>1</v>
      </c>
      <c r="B18" s="220">
        <f t="shared" ref="B18:B81" si="0">IF(Pay_Num&lt;&gt;"",DATE(YEAR(Loan_Start),MONTH(Loan_Start)+(Pay_Num)*12/Num_Pmt_Per_Year,DAY(Loan_Start)),"")</f>
        <v>43545</v>
      </c>
      <c r="C18" s="218">
        <f>IF(Values_Entered,Loan_Amount,"")</f>
        <v>975000</v>
      </c>
      <c r="D18" s="218">
        <f t="shared" ref="D18:D81" si="1">IF(Pay_Num&lt;&gt;"",Scheduled_Monthly_Payment,"")</f>
        <v>6221.0853634570531</v>
      </c>
      <c r="E18" s="219">
        <f t="shared" ref="E18:E81" si="2">IF(AND(Pay_Num&lt;&gt;"",Sched_Pay+Scheduled_Extra_Payments&lt;Beg_Bal),Scheduled_Extra_Payments,IF(AND(Pay_Num&lt;&gt;"",Beg_Bal-Sched_Pay&gt;0),Beg_Bal-Sched_Pay,IF(Pay_Num&lt;&gt;"",0,"")))</f>
        <v>0</v>
      </c>
      <c r="F18" s="218">
        <f t="shared" ref="F18:F81" si="3">IF(AND(Pay_Num&lt;&gt;"",Sched_Pay+Extra_Pay&lt;Beg_Bal),Sched_Pay+Extra_Pay,IF(Pay_Num&lt;&gt;"",Beg_Bal,""))</f>
        <v>6221.0853634570531</v>
      </c>
      <c r="G18" s="218">
        <f t="shared" ref="G18:G81" si="4">IF(Pay_Num&lt;&gt;"",Total_Pay-Int,"")</f>
        <v>2483.5853634570531</v>
      </c>
      <c r="H18" s="218">
        <f>IF(Pay_Num&lt;&gt;"",Beg_Bal*(Interest_Rate/Num_Pmt_Per_Year),"")</f>
        <v>3737.5</v>
      </c>
      <c r="I18" s="218">
        <f t="shared" ref="I18:I81" si="5">IF(AND(Pay_Num&lt;&gt;"",Sched_Pay+Extra_Pay&lt;Beg_Bal),Beg_Bal-Princ,IF(Pay_Num&lt;&gt;"",0,""))</f>
        <v>972516.4146365429</v>
      </c>
      <c r="J18" s="218">
        <f>SUM($H$18:$H18)</f>
        <v>3737.5</v>
      </c>
    </row>
    <row r="19" spans="1:10" s="222" customFormat="1" ht="12.75" customHeight="1" x14ac:dyDescent="0.2">
      <c r="A19" s="221">
        <f>IF(Values_Entered,A18+1,"")</f>
        <v>2</v>
      </c>
      <c r="B19" s="220">
        <f t="shared" si="0"/>
        <v>43576</v>
      </c>
      <c r="C19" s="218">
        <f t="shared" ref="C19:C82" si="6">IF(Pay_Num&lt;&gt;"",I18,"")</f>
        <v>972516.4146365429</v>
      </c>
      <c r="D19" s="218">
        <f t="shared" si="1"/>
        <v>6221.0853634570531</v>
      </c>
      <c r="E19" s="219">
        <f t="shared" si="2"/>
        <v>0</v>
      </c>
      <c r="F19" s="218">
        <f t="shared" si="3"/>
        <v>6221.0853634570531</v>
      </c>
      <c r="G19" s="218">
        <f t="shared" si="4"/>
        <v>2493.1057740169717</v>
      </c>
      <c r="H19" s="218">
        <f t="shared" ref="H19:H82" si="7">IF(Pay_Num&lt;&gt;"",Beg_Bal*Interest_Rate/Num_Pmt_Per_Year,"")</f>
        <v>3727.9795894400813</v>
      </c>
      <c r="I19" s="218">
        <f t="shared" si="5"/>
        <v>970023.30886252597</v>
      </c>
      <c r="J19" s="218">
        <f>SUM($H$18:$H19)</f>
        <v>7465.4795894400813</v>
      </c>
    </row>
    <row r="20" spans="1:10" s="222" customFormat="1" ht="12.75" customHeight="1" x14ac:dyDescent="0.2">
      <c r="A20" s="221">
        <f>IF(Values_Entered,A19+1,"")</f>
        <v>3</v>
      </c>
      <c r="B20" s="220">
        <f t="shared" si="0"/>
        <v>43606</v>
      </c>
      <c r="C20" s="218">
        <f t="shared" si="6"/>
        <v>970023.30886252597</v>
      </c>
      <c r="D20" s="218">
        <f t="shared" si="1"/>
        <v>6221.0853634570531</v>
      </c>
      <c r="E20" s="219">
        <f t="shared" si="2"/>
        <v>0</v>
      </c>
      <c r="F20" s="218">
        <f t="shared" si="3"/>
        <v>6221.0853634570531</v>
      </c>
      <c r="G20" s="218">
        <f t="shared" si="4"/>
        <v>2502.6626794840367</v>
      </c>
      <c r="H20" s="218">
        <f t="shared" si="7"/>
        <v>3718.4226839730163</v>
      </c>
      <c r="I20" s="218">
        <f t="shared" si="5"/>
        <v>967520.64618304197</v>
      </c>
      <c r="J20" s="218">
        <f>SUM($H$18:$H20)</f>
        <v>11183.902273413098</v>
      </c>
    </row>
    <row r="21" spans="1:10" s="222" customFormat="1" x14ac:dyDescent="0.2">
      <c r="A21" s="221">
        <f>IF(Values_Entered,A20+1,"")</f>
        <v>4</v>
      </c>
      <c r="B21" s="220">
        <f t="shared" si="0"/>
        <v>43637</v>
      </c>
      <c r="C21" s="218">
        <f t="shared" si="6"/>
        <v>967520.64618304197</v>
      </c>
      <c r="D21" s="218">
        <f t="shared" si="1"/>
        <v>6221.0853634570531</v>
      </c>
      <c r="E21" s="219">
        <f t="shared" si="2"/>
        <v>0</v>
      </c>
      <c r="F21" s="218">
        <f t="shared" si="3"/>
        <v>6221.0853634570531</v>
      </c>
      <c r="G21" s="218">
        <f t="shared" si="4"/>
        <v>2512.2562197553921</v>
      </c>
      <c r="H21" s="218">
        <f t="shared" si="7"/>
        <v>3708.829143701661</v>
      </c>
      <c r="I21" s="218">
        <f t="shared" si="5"/>
        <v>965008.38996328658</v>
      </c>
      <c r="J21" s="218">
        <f>SUM($H$18:$H21)</f>
        <v>14892.731417114759</v>
      </c>
    </row>
    <row r="22" spans="1:10" s="222" customFormat="1" x14ac:dyDescent="0.2">
      <c r="A22" s="221">
        <f>IF(Values_Entered,A21+1,"")</f>
        <v>5</v>
      </c>
      <c r="B22" s="220">
        <f t="shared" si="0"/>
        <v>43667</v>
      </c>
      <c r="C22" s="218">
        <f t="shared" si="6"/>
        <v>965008.38996328658</v>
      </c>
      <c r="D22" s="218">
        <f t="shared" si="1"/>
        <v>6221.0853634570531</v>
      </c>
      <c r="E22" s="219">
        <f t="shared" si="2"/>
        <v>0</v>
      </c>
      <c r="F22" s="218">
        <f t="shared" si="3"/>
        <v>6221.0853634570531</v>
      </c>
      <c r="G22" s="218">
        <f t="shared" si="4"/>
        <v>2521.8865352644543</v>
      </c>
      <c r="H22" s="218">
        <f t="shared" si="7"/>
        <v>3699.1988281925987</v>
      </c>
      <c r="I22" s="218">
        <f t="shared" si="5"/>
        <v>962486.50342802214</v>
      </c>
      <c r="J22" s="218">
        <f>SUM($H$18:$H22)</f>
        <v>18591.930245307358</v>
      </c>
    </row>
    <row r="23" spans="1:10" x14ac:dyDescent="0.2">
      <c r="A23" s="221">
        <f>IF(Values_Entered,A22+1,"")</f>
        <v>6</v>
      </c>
      <c r="B23" s="220">
        <f t="shared" si="0"/>
        <v>43698</v>
      </c>
      <c r="C23" s="218">
        <f t="shared" si="6"/>
        <v>962486.50342802214</v>
      </c>
      <c r="D23" s="218">
        <f t="shared" si="1"/>
        <v>6221.0853634570531</v>
      </c>
      <c r="E23" s="219">
        <f t="shared" si="2"/>
        <v>0</v>
      </c>
      <c r="F23" s="218">
        <f t="shared" si="3"/>
        <v>6221.0853634570531</v>
      </c>
      <c r="G23" s="218">
        <f t="shared" si="4"/>
        <v>2531.5537669829687</v>
      </c>
      <c r="H23" s="218">
        <f t="shared" si="7"/>
        <v>3689.5315964740844</v>
      </c>
      <c r="I23" s="218">
        <f t="shared" si="5"/>
        <v>959954.94966103917</v>
      </c>
      <c r="J23" s="218">
        <f>SUM($H$18:$H23)</f>
        <v>22281.461841781442</v>
      </c>
    </row>
    <row r="24" spans="1:10" x14ac:dyDescent="0.2">
      <c r="A24" s="221">
        <f>IF(Values_Entered,A23+1,"")</f>
        <v>7</v>
      </c>
      <c r="B24" s="220">
        <f t="shared" si="0"/>
        <v>43729</v>
      </c>
      <c r="C24" s="218">
        <f t="shared" si="6"/>
        <v>959954.94966103917</v>
      </c>
      <c r="D24" s="218">
        <f t="shared" si="1"/>
        <v>6221.0853634570531</v>
      </c>
      <c r="E24" s="219">
        <f t="shared" si="2"/>
        <v>0</v>
      </c>
      <c r="F24" s="218">
        <f t="shared" si="3"/>
        <v>6221.0853634570531</v>
      </c>
      <c r="G24" s="218">
        <f t="shared" si="4"/>
        <v>2541.2580564230698</v>
      </c>
      <c r="H24" s="218">
        <f t="shared" si="7"/>
        <v>3679.8273070339833</v>
      </c>
      <c r="I24" s="218">
        <f t="shared" si="5"/>
        <v>957413.69160461612</v>
      </c>
      <c r="J24" s="218">
        <f>SUM($H$18:$H24)</f>
        <v>25961.289148815424</v>
      </c>
    </row>
    <row r="25" spans="1:10" x14ac:dyDescent="0.2">
      <c r="A25" s="221">
        <f>IF(Values_Entered,A24+1,"")</f>
        <v>8</v>
      </c>
      <c r="B25" s="220">
        <f t="shared" si="0"/>
        <v>43759</v>
      </c>
      <c r="C25" s="218">
        <f t="shared" si="6"/>
        <v>957413.69160461612</v>
      </c>
      <c r="D25" s="218">
        <f t="shared" si="1"/>
        <v>6221.0853634570531</v>
      </c>
      <c r="E25" s="219">
        <f t="shared" si="2"/>
        <v>0</v>
      </c>
      <c r="F25" s="218">
        <f t="shared" si="3"/>
        <v>6221.0853634570531</v>
      </c>
      <c r="G25" s="218">
        <f t="shared" si="4"/>
        <v>2550.9995456393581</v>
      </c>
      <c r="H25" s="218">
        <f t="shared" si="7"/>
        <v>3670.085817817695</v>
      </c>
      <c r="I25" s="218">
        <f t="shared" si="5"/>
        <v>954862.69205897674</v>
      </c>
      <c r="J25" s="218">
        <f>SUM($H$18:$H25)</f>
        <v>29631.37496663312</v>
      </c>
    </row>
    <row r="26" spans="1:10" x14ac:dyDescent="0.2">
      <c r="A26" s="221">
        <f>IF(Values_Entered,A25+1,"")</f>
        <v>9</v>
      </c>
      <c r="B26" s="220">
        <f t="shared" si="0"/>
        <v>43790</v>
      </c>
      <c r="C26" s="218">
        <f t="shared" si="6"/>
        <v>954862.69205897674</v>
      </c>
      <c r="D26" s="218">
        <f t="shared" si="1"/>
        <v>6221.0853634570531</v>
      </c>
      <c r="E26" s="219">
        <f t="shared" si="2"/>
        <v>0</v>
      </c>
      <c r="F26" s="218">
        <f t="shared" si="3"/>
        <v>6221.0853634570531</v>
      </c>
      <c r="G26" s="218">
        <f t="shared" si="4"/>
        <v>2560.7783772309754</v>
      </c>
      <c r="H26" s="218">
        <f t="shared" si="7"/>
        <v>3660.3069862260777</v>
      </c>
      <c r="I26" s="218">
        <f t="shared" si="5"/>
        <v>952301.91368174576</v>
      </c>
      <c r="J26" s="218">
        <f>SUM($H$18:$H26)</f>
        <v>33291.681952859195</v>
      </c>
    </row>
    <row r="27" spans="1:10" x14ac:dyDescent="0.2">
      <c r="A27" s="221">
        <f>IF(Values_Entered,A26+1,"")</f>
        <v>10</v>
      </c>
      <c r="B27" s="220">
        <f t="shared" si="0"/>
        <v>43820</v>
      </c>
      <c r="C27" s="218">
        <f t="shared" si="6"/>
        <v>952301.91368174576</v>
      </c>
      <c r="D27" s="218">
        <f t="shared" si="1"/>
        <v>6221.0853634570531</v>
      </c>
      <c r="E27" s="219">
        <f t="shared" si="2"/>
        <v>0</v>
      </c>
      <c r="F27" s="218">
        <f t="shared" si="3"/>
        <v>6221.0853634570531</v>
      </c>
      <c r="G27" s="218">
        <f t="shared" si="4"/>
        <v>2570.5946943436943</v>
      </c>
      <c r="H27" s="218">
        <f t="shared" si="7"/>
        <v>3650.4906691133588</v>
      </c>
      <c r="I27" s="218">
        <f t="shared" si="5"/>
        <v>949731.31898740202</v>
      </c>
      <c r="J27" s="218">
        <f>SUM($H$18:$H27)</f>
        <v>36942.172621972553</v>
      </c>
    </row>
    <row r="28" spans="1:10" x14ac:dyDescent="0.2">
      <c r="A28" s="221">
        <f>IF(Values_Entered,A27+1,"")</f>
        <v>11</v>
      </c>
      <c r="B28" s="220">
        <f t="shared" si="0"/>
        <v>43851</v>
      </c>
      <c r="C28" s="218">
        <f t="shared" si="6"/>
        <v>949731.31898740202</v>
      </c>
      <c r="D28" s="218">
        <f t="shared" si="1"/>
        <v>6221.0853634570531</v>
      </c>
      <c r="E28" s="219">
        <f t="shared" si="2"/>
        <v>0</v>
      </c>
      <c r="F28" s="218">
        <f t="shared" si="3"/>
        <v>6221.0853634570531</v>
      </c>
      <c r="G28" s="218">
        <f t="shared" si="4"/>
        <v>2580.4486406720121</v>
      </c>
      <c r="H28" s="218">
        <f t="shared" si="7"/>
        <v>3640.636722785041</v>
      </c>
      <c r="I28" s="218">
        <f t="shared" si="5"/>
        <v>947150.87034672999</v>
      </c>
      <c r="J28" s="218">
        <f>SUM($H$18:$H28)</f>
        <v>40582.809344757596</v>
      </c>
    </row>
    <row r="29" spans="1:10" x14ac:dyDescent="0.2">
      <c r="A29" s="221">
        <f>IF(Values_Entered,A28+1,"")</f>
        <v>12</v>
      </c>
      <c r="B29" s="220">
        <f t="shared" si="0"/>
        <v>43882</v>
      </c>
      <c r="C29" s="218">
        <f t="shared" si="6"/>
        <v>947150.87034672999</v>
      </c>
      <c r="D29" s="218">
        <f t="shared" si="1"/>
        <v>6221.0853634570531</v>
      </c>
      <c r="E29" s="219">
        <f t="shared" si="2"/>
        <v>0</v>
      </c>
      <c r="F29" s="218">
        <f t="shared" si="3"/>
        <v>6221.0853634570531</v>
      </c>
      <c r="G29" s="218">
        <f t="shared" si="4"/>
        <v>2590.3403604612549</v>
      </c>
      <c r="H29" s="218">
        <f t="shared" si="7"/>
        <v>3630.7450029957981</v>
      </c>
      <c r="I29" s="218">
        <f t="shared" si="5"/>
        <v>944560.52998626872</v>
      </c>
      <c r="J29" s="218">
        <f>SUM($H$18:$H29)</f>
        <v>44213.554347753394</v>
      </c>
    </row>
    <row r="30" spans="1:10" x14ac:dyDescent="0.2">
      <c r="A30" s="221">
        <f>IF(Values_Entered,A29+1,"")</f>
        <v>13</v>
      </c>
      <c r="B30" s="220">
        <f t="shared" si="0"/>
        <v>43911</v>
      </c>
      <c r="C30" s="218">
        <f t="shared" si="6"/>
        <v>944560.52998626872</v>
      </c>
      <c r="D30" s="218">
        <f t="shared" si="1"/>
        <v>6221.0853634570531</v>
      </c>
      <c r="E30" s="219">
        <f t="shared" si="2"/>
        <v>0</v>
      </c>
      <c r="F30" s="218">
        <f t="shared" si="3"/>
        <v>6221.0853634570531</v>
      </c>
      <c r="G30" s="218">
        <f t="shared" si="4"/>
        <v>2600.2699985096892</v>
      </c>
      <c r="H30" s="218">
        <f t="shared" si="7"/>
        <v>3620.8153649473638</v>
      </c>
      <c r="I30" s="218">
        <f t="shared" si="5"/>
        <v>941960.25998775905</v>
      </c>
      <c r="J30" s="218">
        <f>SUM($H$18:$H30)</f>
        <v>47834.369712700754</v>
      </c>
    </row>
    <row r="31" spans="1:10" x14ac:dyDescent="0.2">
      <c r="A31" s="221">
        <f>IF(Values_Entered,A30+1,"")</f>
        <v>14</v>
      </c>
      <c r="B31" s="220">
        <f t="shared" si="0"/>
        <v>43942</v>
      </c>
      <c r="C31" s="218">
        <f t="shared" si="6"/>
        <v>941960.25998775905</v>
      </c>
      <c r="D31" s="218">
        <f t="shared" si="1"/>
        <v>6221.0853634570531</v>
      </c>
      <c r="E31" s="219">
        <f t="shared" si="2"/>
        <v>0</v>
      </c>
      <c r="F31" s="218">
        <f t="shared" si="3"/>
        <v>6221.0853634570531</v>
      </c>
      <c r="G31" s="218">
        <f t="shared" si="4"/>
        <v>2610.2377001706436</v>
      </c>
      <c r="H31" s="218">
        <f t="shared" si="7"/>
        <v>3610.8476632864094</v>
      </c>
      <c r="I31" s="218">
        <f t="shared" si="5"/>
        <v>939350.02228758845</v>
      </c>
      <c r="J31" s="218">
        <f>SUM($H$18:$H31)</f>
        <v>51445.217375987166</v>
      </c>
    </row>
    <row r="32" spans="1:10" x14ac:dyDescent="0.2">
      <c r="A32" s="221">
        <f>IF(Values_Entered,A31+1,"")</f>
        <v>15</v>
      </c>
      <c r="B32" s="220">
        <f t="shared" si="0"/>
        <v>43972</v>
      </c>
      <c r="C32" s="218">
        <f t="shared" si="6"/>
        <v>939350.02228758845</v>
      </c>
      <c r="D32" s="218">
        <f t="shared" si="1"/>
        <v>6221.0853634570531</v>
      </c>
      <c r="E32" s="219">
        <f t="shared" si="2"/>
        <v>0</v>
      </c>
      <c r="F32" s="218">
        <f t="shared" si="3"/>
        <v>6221.0853634570531</v>
      </c>
      <c r="G32" s="218">
        <f t="shared" si="4"/>
        <v>2620.243611354631</v>
      </c>
      <c r="H32" s="218">
        <f t="shared" si="7"/>
        <v>3600.8417521024221</v>
      </c>
      <c r="I32" s="218">
        <f t="shared" si="5"/>
        <v>936729.77867623384</v>
      </c>
      <c r="J32" s="218">
        <f>SUM($H$18:$H32)</f>
        <v>55046.05912808959</v>
      </c>
    </row>
    <row r="33" spans="1:10" x14ac:dyDescent="0.2">
      <c r="A33" s="221">
        <f>IF(Values_Entered,A32+1,"")</f>
        <v>16</v>
      </c>
      <c r="B33" s="220">
        <f t="shared" si="0"/>
        <v>44003</v>
      </c>
      <c r="C33" s="218">
        <f t="shared" si="6"/>
        <v>936729.77867623384</v>
      </c>
      <c r="D33" s="218">
        <f t="shared" si="1"/>
        <v>6221.0853634570531</v>
      </c>
      <c r="E33" s="219">
        <f t="shared" si="2"/>
        <v>0</v>
      </c>
      <c r="F33" s="218">
        <f t="shared" si="3"/>
        <v>6221.0853634570531</v>
      </c>
      <c r="G33" s="218">
        <f t="shared" si="4"/>
        <v>2630.2878785314902</v>
      </c>
      <c r="H33" s="218">
        <f t="shared" si="7"/>
        <v>3590.7974849255629</v>
      </c>
      <c r="I33" s="218">
        <f t="shared" si="5"/>
        <v>934099.49079770234</v>
      </c>
      <c r="J33" s="218">
        <f>SUM($H$18:$H33)</f>
        <v>58636.856613015152</v>
      </c>
    </row>
    <row r="34" spans="1:10" x14ac:dyDescent="0.2">
      <c r="A34" s="221">
        <f>IF(Values_Entered,A33+1,"")</f>
        <v>17</v>
      </c>
      <c r="B34" s="220">
        <f t="shared" si="0"/>
        <v>44033</v>
      </c>
      <c r="C34" s="218">
        <f t="shared" si="6"/>
        <v>934099.49079770234</v>
      </c>
      <c r="D34" s="218">
        <f t="shared" si="1"/>
        <v>6221.0853634570531</v>
      </c>
      <c r="E34" s="219">
        <f t="shared" si="2"/>
        <v>0</v>
      </c>
      <c r="F34" s="218">
        <f t="shared" si="3"/>
        <v>6221.0853634570531</v>
      </c>
      <c r="G34" s="218">
        <f t="shared" si="4"/>
        <v>2640.3706487325276</v>
      </c>
      <c r="H34" s="218">
        <f t="shared" si="7"/>
        <v>3580.7147147245255</v>
      </c>
      <c r="I34" s="218">
        <f t="shared" si="5"/>
        <v>931459.12014896981</v>
      </c>
      <c r="J34" s="218">
        <f>SUM($H$18:$H34)</f>
        <v>62217.571327739679</v>
      </c>
    </row>
    <row r="35" spans="1:10" x14ac:dyDescent="0.2">
      <c r="A35" s="221">
        <f>IF(Values_Entered,A34+1,"")</f>
        <v>18</v>
      </c>
      <c r="B35" s="220">
        <f t="shared" si="0"/>
        <v>44064</v>
      </c>
      <c r="C35" s="218">
        <f t="shared" si="6"/>
        <v>931459.12014896981</v>
      </c>
      <c r="D35" s="218">
        <f t="shared" si="1"/>
        <v>6221.0853634570531</v>
      </c>
      <c r="E35" s="219">
        <f t="shared" si="2"/>
        <v>0</v>
      </c>
      <c r="F35" s="218">
        <f t="shared" si="3"/>
        <v>6221.0853634570531</v>
      </c>
      <c r="G35" s="218">
        <f t="shared" si="4"/>
        <v>2650.4920695526685</v>
      </c>
      <c r="H35" s="218">
        <f t="shared" si="7"/>
        <v>3570.5932939043846</v>
      </c>
      <c r="I35" s="218">
        <f t="shared" si="5"/>
        <v>928808.62807941716</v>
      </c>
      <c r="J35" s="218">
        <f>SUM($H$18:$H35)</f>
        <v>65788.164621644057</v>
      </c>
    </row>
    <row r="36" spans="1:10" x14ac:dyDescent="0.2">
      <c r="A36" s="221">
        <f>IF(Values_Entered,A35+1,"")</f>
        <v>19</v>
      </c>
      <c r="B36" s="220">
        <f t="shared" si="0"/>
        <v>44095</v>
      </c>
      <c r="C36" s="218">
        <f t="shared" si="6"/>
        <v>928808.62807941716</v>
      </c>
      <c r="D36" s="218">
        <f t="shared" si="1"/>
        <v>6221.0853634570531</v>
      </c>
      <c r="E36" s="219">
        <f t="shared" si="2"/>
        <v>0</v>
      </c>
      <c r="F36" s="218">
        <f t="shared" si="3"/>
        <v>6221.0853634570531</v>
      </c>
      <c r="G36" s="218">
        <f t="shared" si="4"/>
        <v>2660.6522891526206</v>
      </c>
      <c r="H36" s="218">
        <f t="shared" si="7"/>
        <v>3560.4330743044325</v>
      </c>
      <c r="I36" s="218">
        <f t="shared" si="5"/>
        <v>926147.97579026455</v>
      </c>
      <c r="J36" s="218">
        <f>SUM($H$18:$H36)</f>
        <v>69348.597695948483</v>
      </c>
    </row>
    <row r="37" spans="1:10" x14ac:dyDescent="0.2">
      <c r="A37" s="221">
        <f>IF(Values_Entered,A36+1,"")</f>
        <v>20</v>
      </c>
      <c r="B37" s="220">
        <f t="shared" si="0"/>
        <v>44125</v>
      </c>
      <c r="C37" s="218">
        <f t="shared" si="6"/>
        <v>926147.97579026455</v>
      </c>
      <c r="D37" s="218">
        <f t="shared" si="1"/>
        <v>6221.0853634570531</v>
      </c>
      <c r="E37" s="219">
        <f t="shared" si="2"/>
        <v>0</v>
      </c>
      <c r="F37" s="218">
        <f t="shared" si="3"/>
        <v>6221.0853634570531</v>
      </c>
      <c r="G37" s="218">
        <f t="shared" si="4"/>
        <v>2670.8514562610389</v>
      </c>
      <c r="H37" s="218">
        <f t="shared" si="7"/>
        <v>3550.2339071960141</v>
      </c>
      <c r="I37" s="218">
        <f t="shared" si="5"/>
        <v>923477.12433400354</v>
      </c>
      <c r="J37" s="218">
        <f>SUM($H$18:$H37)</f>
        <v>72898.831603144499</v>
      </c>
    </row>
    <row r="38" spans="1:10" x14ac:dyDescent="0.2">
      <c r="A38" s="221">
        <f>IF(Values_Entered,A37+1,"")</f>
        <v>21</v>
      </c>
      <c r="B38" s="220">
        <f t="shared" si="0"/>
        <v>44156</v>
      </c>
      <c r="C38" s="218">
        <f t="shared" si="6"/>
        <v>923477.12433400354</v>
      </c>
      <c r="D38" s="218">
        <f t="shared" si="1"/>
        <v>6221.0853634570531</v>
      </c>
      <c r="E38" s="219">
        <f t="shared" si="2"/>
        <v>0</v>
      </c>
      <c r="F38" s="218">
        <f t="shared" si="3"/>
        <v>6221.0853634570531</v>
      </c>
      <c r="G38" s="218">
        <f t="shared" si="4"/>
        <v>2681.0897201767061</v>
      </c>
      <c r="H38" s="218">
        <f t="shared" si="7"/>
        <v>3539.9956432803469</v>
      </c>
      <c r="I38" s="218">
        <f t="shared" si="5"/>
        <v>920796.03461382689</v>
      </c>
      <c r="J38" s="218">
        <f>SUM($H$18:$H38)</f>
        <v>76438.827246424844</v>
      </c>
    </row>
    <row r="39" spans="1:10" x14ac:dyDescent="0.2">
      <c r="A39" s="221">
        <f>IF(Values_Entered,A38+1,"")</f>
        <v>22</v>
      </c>
      <c r="B39" s="220">
        <f t="shared" si="0"/>
        <v>44186</v>
      </c>
      <c r="C39" s="218">
        <f t="shared" si="6"/>
        <v>920796.03461382689</v>
      </c>
      <c r="D39" s="218">
        <f t="shared" si="1"/>
        <v>6221.0853634570531</v>
      </c>
      <c r="E39" s="219">
        <f t="shared" si="2"/>
        <v>0</v>
      </c>
      <c r="F39" s="218">
        <f t="shared" si="3"/>
        <v>6221.0853634570531</v>
      </c>
      <c r="G39" s="218">
        <f t="shared" si="4"/>
        <v>2691.367230770717</v>
      </c>
      <c r="H39" s="218">
        <f t="shared" si="7"/>
        <v>3529.718132686336</v>
      </c>
      <c r="I39" s="218">
        <f t="shared" si="5"/>
        <v>918104.66738305613</v>
      </c>
      <c r="J39" s="218">
        <f>SUM($H$18:$H39)</f>
        <v>79968.545379111179</v>
      </c>
    </row>
    <row r="40" spans="1:10" x14ac:dyDescent="0.2">
      <c r="A40" s="221">
        <f>IF(Values_Entered,A39+1,"")</f>
        <v>23</v>
      </c>
      <c r="B40" s="220">
        <f t="shared" si="0"/>
        <v>44217</v>
      </c>
      <c r="C40" s="218">
        <f t="shared" si="6"/>
        <v>918104.66738305613</v>
      </c>
      <c r="D40" s="218">
        <f t="shared" si="1"/>
        <v>6221.0853634570531</v>
      </c>
      <c r="E40" s="219">
        <f t="shared" si="2"/>
        <v>0</v>
      </c>
      <c r="F40" s="218">
        <f t="shared" si="3"/>
        <v>6221.0853634570531</v>
      </c>
      <c r="G40" s="218">
        <f t="shared" si="4"/>
        <v>2701.6841384886711</v>
      </c>
      <c r="H40" s="218">
        <f t="shared" si="7"/>
        <v>3519.4012249683819</v>
      </c>
      <c r="I40" s="218">
        <f t="shared" si="5"/>
        <v>915402.98324456741</v>
      </c>
      <c r="J40" s="218">
        <f>SUM($H$18:$H40)</f>
        <v>83487.946604079567</v>
      </c>
    </row>
    <row r="41" spans="1:10" x14ac:dyDescent="0.2">
      <c r="A41" s="221">
        <f>IF(Values_Entered,A40+1,"")</f>
        <v>24</v>
      </c>
      <c r="B41" s="220">
        <f t="shared" si="0"/>
        <v>44248</v>
      </c>
      <c r="C41" s="218">
        <f t="shared" si="6"/>
        <v>915402.98324456741</v>
      </c>
      <c r="D41" s="218">
        <f t="shared" si="1"/>
        <v>6221.0853634570531</v>
      </c>
      <c r="E41" s="219">
        <f t="shared" si="2"/>
        <v>0</v>
      </c>
      <c r="F41" s="218">
        <f t="shared" si="3"/>
        <v>6221.0853634570531</v>
      </c>
      <c r="G41" s="218">
        <f t="shared" si="4"/>
        <v>2712.0405943528781</v>
      </c>
      <c r="H41" s="218">
        <f t="shared" si="7"/>
        <v>3509.044769104175</v>
      </c>
      <c r="I41" s="218">
        <f t="shared" si="5"/>
        <v>912690.94265021454</v>
      </c>
      <c r="J41" s="218">
        <f>SUM($H$18:$H41)</f>
        <v>86996.991373183744</v>
      </c>
    </row>
    <row r="42" spans="1:10" x14ac:dyDescent="0.2">
      <c r="A42" s="221">
        <f>IF(Values_Entered,A41+1,"")</f>
        <v>25</v>
      </c>
      <c r="B42" s="220">
        <f t="shared" si="0"/>
        <v>44276</v>
      </c>
      <c r="C42" s="218">
        <f t="shared" si="6"/>
        <v>912690.94265021454</v>
      </c>
      <c r="D42" s="218">
        <f t="shared" si="1"/>
        <v>6221.0853634570531</v>
      </c>
      <c r="E42" s="219">
        <f t="shared" si="2"/>
        <v>0</v>
      </c>
      <c r="F42" s="218">
        <f t="shared" si="3"/>
        <v>6221.0853634570531</v>
      </c>
      <c r="G42" s="218">
        <f t="shared" si="4"/>
        <v>2722.4367499645641</v>
      </c>
      <c r="H42" s="218">
        <f t="shared" si="7"/>
        <v>3498.6486134924889</v>
      </c>
      <c r="I42" s="218">
        <f t="shared" si="5"/>
        <v>909968.50590024993</v>
      </c>
      <c r="J42" s="218">
        <f>SUM($H$18:$H42)</f>
        <v>90495.639986676237</v>
      </c>
    </row>
    <row r="43" spans="1:10" x14ac:dyDescent="0.2">
      <c r="A43" s="221">
        <f>IF(Values_Entered,A42+1,"")</f>
        <v>26</v>
      </c>
      <c r="B43" s="220">
        <f t="shared" si="0"/>
        <v>44307</v>
      </c>
      <c r="C43" s="218">
        <f t="shared" si="6"/>
        <v>909968.50590024993</v>
      </c>
      <c r="D43" s="218">
        <f t="shared" si="1"/>
        <v>6221.0853634570531</v>
      </c>
      <c r="E43" s="219">
        <f t="shared" si="2"/>
        <v>0</v>
      </c>
      <c r="F43" s="218">
        <f t="shared" si="3"/>
        <v>6221.0853634570531</v>
      </c>
      <c r="G43" s="218">
        <f t="shared" si="4"/>
        <v>2732.8727575060952</v>
      </c>
      <c r="H43" s="218">
        <f t="shared" si="7"/>
        <v>3488.2126059509578</v>
      </c>
      <c r="I43" s="218">
        <f t="shared" si="5"/>
        <v>907235.63314274384</v>
      </c>
      <c r="J43" s="218">
        <f>SUM($H$18:$H43)</f>
        <v>93983.852592627198</v>
      </c>
    </row>
    <row r="44" spans="1:10" x14ac:dyDescent="0.2">
      <c r="A44" s="221">
        <f>IF(Values_Entered,A43+1,"")</f>
        <v>27</v>
      </c>
      <c r="B44" s="220">
        <f t="shared" si="0"/>
        <v>44337</v>
      </c>
      <c r="C44" s="218">
        <f t="shared" si="6"/>
        <v>907235.63314274384</v>
      </c>
      <c r="D44" s="218">
        <f t="shared" si="1"/>
        <v>6221.0853634570531</v>
      </c>
      <c r="E44" s="219">
        <f t="shared" si="2"/>
        <v>0</v>
      </c>
      <c r="F44" s="218">
        <f t="shared" si="3"/>
        <v>6221.0853634570531</v>
      </c>
      <c r="G44" s="218">
        <f t="shared" si="4"/>
        <v>2743.348769743202</v>
      </c>
      <c r="H44" s="218">
        <f t="shared" si="7"/>
        <v>3477.7365937138511</v>
      </c>
      <c r="I44" s="218">
        <f t="shared" si="5"/>
        <v>904492.28437300061</v>
      </c>
      <c r="J44" s="218">
        <f>SUM($H$18:$H44)</f>
        <v>97461.589186341051</v>
      </c>
    </row>
    <row r="45" spans="1:10" x14ac:dyDescent="0.2">
      <c r="A45" s="221">
        <f>IF(Values_Entered,A44+1,"")</f>
        <v>28</v>
      </c>
      <c r="B45" s="220">
        <f t="shared" si="0"/>
        <v>44368</v>
      </c>
      <c r="C45" s="218">
        <f t="shared" si="6"/>
        <v>904492.28437300061</v>
      </c>
      <c r="D45" s="218">
        <f t="shared" si="1"/>
        <v>6221.0853634570531</v>
      </c>
      <c r="E45" s="219">
        <f t="shared" si="2"/>
        <v>0</v>
      </c>
      <c r="F45" s="218">
        <f t="shared" si="3"/>
        <v>6221.0853634570531</v>
      </c>
      <c r="G45" s="218">
        <f t="shared" si="4"/>
        <v>2753.8649400272175</v>
      </c>
      <c r="H45" s="218">
        <f t="shared" si="7"/>
        <v>3467.2204234298356</v>
      </c>
      <c r="I45" s="218">
        <f t="shared" si="5"/>
        <v>901738.41943297337</v>
      </c>
      <c r="J45" s="218">
        <f>SUM($H$18:$H45)</f>
        <v>100928.80960977089</v>
      </c>
    </row>
    <row r="46" spans="1:10" x14ac:dyDescent="0.2">
      <c r="A46" s="221">
        <f>IF(Values_Entered,A45+1,"")</f>
        <v>29</v>
      </c>
      <c r="B46" s="220">
        <f t="shared" si="0"/>
        <v>44398</v>
      </c>
      <c r="C46" s="218">
        <f t="shared" si="6"/>
        <v>901738.41943297337</v>
      </c>
      <c r="D46" s="218">
        <f t="shared" si="1"/>
        <v>6221.0853634570531</v>
      </c>
      <c r="E46" s="219">
        <f t="shared" si="2"/>
        <v>0</v>
      </c>
      <c r="F46" s="218">
        <f t="shared" si="3"/>
        <v>6221.0853634570531</v>
      </c>
      <c r="G46" s="218">
        <f t="shared" si="4"/>
        <v>2764.4214222973219</v>
      </c>
      <c r="H46" s="218">
        <f t="shared" si="7"/>
        <v>3456.6639411597312</v>
      </c>
      <c r="I46" s="218">
        <f t="shared" si="5"/>
        <v>898973.998010676</v>
      </c>
      <c r="J46" s="218">
        <f>SUM($H$18:$H46)</f>
        <v>104385.47355093062</v>
      </c>
    </row>
    <row r="47" spans="1:10" x14ac:dyDescent="0.2">
      <c r="A47" s="221">
        <f>IF(Values_Entered,A46+1,"")</f>
        <v>30</v>
      </c>
      <c r="B47" s="220">
        <f t="shared" si="0"/>
        <v>44429</v>
      </c>
      <c r="C47" s="218">
        <f t="shared" si="6"/>
        <v>898973.998010676</v>
      </c>
      <c r="D47" s="218">
        <f t="shared" si="1"/>
        <v>6221.0853634570531</v>
      </c>
      <c r="E47" s="219">
        <f t="shared" si="2"/>
        <v>0</v>
      </c>
      <c r="F47" s="218">
        <f t="shared" si="3"/>
        <v>6221.0853634570531</v>
      </c>
      <c r="G47" s="218">
        <f t="shared" si="4"/>
        <v>2775.0183710827955</v>
      </c>
      <c r="H47" s="218">
        <f t="shared" si="7"/>
        <v>3446.0669923742576</v>
      </c>
      <c r="I47" s="218">
        <f t="shared" si="5"/>
        <v>896198.97963959316</v>
      </c>
      <c r="J47" s="218">
        <f>SUM($H$18:$H47)</f>
        <v>107831.54054330487</v>
      </c>
    </row>
    <row r="48" spans="1:10" x14ac:dyDescent="0.2">
      <c r="A48" s="221">
        <f>IF(Values_Entered,A47+1,"")</f>
        <v>31</v>
      </c>
      <c r="B48" s="220">
        <f t="shared" si="0"/>
        <v>44460</v>
      </c>
      <c r="C48" s="218">
        <f t="shared" si="6"/>
        <v>896198.97963959316</v>
      </c>
      <c r="D48" s="218">
        <f t="shared" si="1"/>
        <v>6221.0853634570531</v>
      </c>
      <c r="E48" s="219">
        <f t="shared" si="2"/>
        <v>0</v>
      </c>
      <c r="F48" s="218">
        <f t="shared" si="3"/>
        <v>6221.0853634570531</v>
      </c>
      <c r="G48" s="218">
        <f t="shared" si="4"/>
        <v>2785.6559415052793</v>
      </c>
      <c r="H48" s="218">
        <f t="shared" si="7"/>
        <v>3435.4294219517737</v>
      </c>
      <c r="I48" s="218">
        <f t="shared" si="5"/>
        <v>893413.32369808783</v>
      </c>
      <c r="J48" s="218">
        <f>SUM($H$18:$H48)</f>
        <v>111266.96996525665</v>
      </c>
    </row>
    <row r="49" spans="1:10" x14ac:dyDescent="0.2">
      <c r="A49" s="221">
        <f>IF(Values_Entered,A48+1,"")</f>
        <v>32</v>
      </c>
      <c r="B49" s="220">
        <f t="shared" si="0"/>
        <v>44490</v>
      </c>
      <c r="C49" s="218">
        <f t="shared" si="6"/>
        <v>893413.32369808783</v>
      </c>
      <c r="D49" s="218">
        <f t="shared" si="1"/>
        <v>6221.0853634570531</v>
      </c>
      <c r="E49" s="219">
        <f t="shared" si="2"/>
        <v>0</v>
      </c>
      <c r="F49" s="218">
        <f t="shared" si="3"/>
        <v>6221.0853634570531</v>
      </c>
      <c r="G49" s="218">
        <f t="shared" si="4"/>
        <v>2796.3342892810497</v>
      </c>
      <c r="H49" s="218">
        <f t="shared" si="7"/>
        <v>3424.7510741760034</v>
      </c>
      <c r="I49" s="218">
        <f t="shared" si="5"/>
        <v>890616.98940880678</v>
      </c>
      <c r="J49" s="218">
        <f>SUM($H$18:$H49)</f>
        <v>114691.72103943265</v>
      </c>
    </row>
    <row r="50" spans="1:10" x14ac:dyDescent="0.2">
      <c r="A50" s="221">
        <f>IF(Values_Entered,A49+1,"")</f>
        <v>33</v>
      </c>
      <c r="B50" s="220">
        <f t="shared" si="0"/>
        <v>44521</v>
      </c>
      <c r="C50" s="218">
        <f t="shared" si="6"/>
        <v>890616.98940880678</v>
      </c>
      <c r="D50" s="218">
        <f t="shared" si="1"/>
        <v>6221.0853634570531</v>
      </c>
      <c r="E50" s="219">
        <f t="shared" si="2"/>
        <v>0</v>
      </c>
      <c r="F50" s="218">
        <f t="shared" si="3"/>
        <v>6221.0853634570531</v>
      </c>
      <c r="G50" s="218">
        <f t="shared" si="4"/>
        <v>2807.0535707232934</v>
      </c>
      <c r="H50" s="218">
        <f t="shared" si="7"/>
        <v>3414.0317927337596</v>
      </c>
      <c r="I50" s="218">
        <f t="shared" si="5"/>
        <v>887809.9358380835</v>
      </c>
      <c r="J50" s="218">
        <f>SUM($H$18:$H50)</f>
        <v>118105.75283216641</v>
      </c>
    </row>
    <row r="51" spans="1:10" x14ac:dyDescent="0.2">
      <c r="A51" s="221">
        <f>IF(Values_Entered,A50+1,"")</f>
        <v>34</v>
      </c>
      <c r="B51" s="220">
        <f t="shared" si="0"/>
        <v>44551</v>
      </c>
      <c r="C51" s="218">
        <f t="shared" si="6"/>
        <v>887809.9358380835</v>
      </c>
      <c r="D51" s="218">
        <f t="shared" si="1"/>
        <v>6221.0853634570531</v>
      </c>
      <c r="E51" s="219">
        <f t="shared" si="2"/>
        <v>0</v>
      </c>
      <c r="F51" s="218">
        <f t="shared" si="3"/>
        <v>6221.0853634570531</v>
      </c>
      <c r="G51" s="218">
        <f t="shared" si="4"/>
        <v>2817.8139427443998</v>
      </c>
      <c r="H51" s="218">
        <f t="shared" si="7"/>
        <v>3403.2714207126533</v>
      </c>
      <c r="I51" s="218">
        <f t="shared" si="5"/>
        <v>884992.12189533911</v>
      </c>
      <c r="J51" s="218">
        <f>SUM($H$18:$H51)</f>
        <v>121509.02425287907</v>
      </c>
    </row>
    <row r="52" spans="1:10" x14ac:dyDescent="0.2">
      <c r="A52" s="221">
        <f>IF(Values_Entered,A51+1,"")</f>
        <v>35</v>
      </c>
      <c r="B52" s="220">
        <f t="shared" si="0"/>
        <v>44582</v>
      </c>
      <c r="C52" s="218">
        <f t="shared" si="6"/>
        <v>884992.12189533911</v>
      </c>
      <c r="D52" s="218">
        <f t="shared" si="1"/>
        <v>6221.0853634570531</v>
      </c>
      <c r="E52" s="219">
        <f t="shared" si="2"/>
        <v>0</v>
      </c>
      <c r="F52" s="218">
        <f t="shared" si="3"/>
        <v>6221.0853634570531</v>
      </c>
      <c r="G52" s="218">
        <f t="shared" si="4"/>
        <v>2828.6155628582533</v>
      </c>
      <c r="H52" s="218">
        <f t="shared" si="7"/>
        <v>3392.4698005987998</v>
      </c>
      <c r="I52" s="218">
        <f t="shared" si="5"/>
        <v>882163.50633248081</v>
      </c>
      <c r="J52" s="218">
        <f>SUM($H$18:$H52)</f>
        <v>124901.49405347787</v>
      </c>
    </row>
    <row r="53" spans="1:10" x14ac:dyDescent="0.2">
      <c r="A53" s="221">
        <f>IF(Values_Entered,A52+1,"")</f>
        <v>36</v>
      </c>
      <c r="B53" s="220">
        <f t="shared" si="0"/>
        <v>44613</v>
      </c>
      <c r="C53" s="218">
        <f t="shared" si="6"/>
        <v>882163.50633248081</v>
      </c>
      <c r="D53" s="218">
        <f t="shared" si="1"/>
        <v>6221.0853634570531</v>
      </c>
      <c r="E53" s="219">
        <f t="shared" si="2"/>
        <v>0</v>
      </c>
      <c r="F53" s="218">
        <f t="shared" si="3"/>
        <v>6221.0853634570531</v>
      </c>
      <c r="G53" s="218">
        <f t="shared" si="4"/>
        <v>2839.4585891825436</v>
      </c>
      <c r="H53" s="218">
        <f t="shared" si="7"/>
        <v>3381.6267742745094</v>
      </c>
      <c r="I53" s="218">
        <f t="shared" si="5"/>
        <v>879324.04774329823</v>
      </c>
      <c r="J53" s="218">
        <f>SUM($H$18:$H53)</f>
        <v>128283.12082775238</v>
      </c>
    </row>
    <row r="54" spans="1:10" x14ac:dyDescent="0.2">
      <c r="A54" s="221">
        <f>IF(Values_Entered,A53+1,"")</f>
        <v>37</v>
      </c>
      <c r="B54" s="220">
        <f t="shared" si="0"/>
        <v>44641</v>
      </c>
      <c r="C54" s="218">
        <f t="shared" si="6"/>
        <v>879324.04774329823</v>
      </c>
      <c r="D54" s="218">
        <f t="shared" si="1"/>
        <v>6221.0853634570531</v>
      </c>
      <c r="E54" s="219">
        <f t="shared" si="2"/>
        <v>0</v>
      </c>
      <c r="F54" s="218">
        <f t="shared" si="3"/>
        <v>6221.0853634570531</v>
      </c>
      <c r="G54" s="218">
        <f t="shared" si="4"/>
        <v>2850.3431804410766</v>
      </c>
      <c r="H54" s="218">
        <f t="shared" si="7"/>
        <v>3370.7421830159765</v>
      </c>
      <c r="I54" s="218">
        <f t="shared" si="5"/>
        <v>876473.70456285717</v>
      </c>
      <c r="J54" s="218">
        <f>SUM($H$18:$H54)</f>
        <v>131653.86301076837</v>
      </c>
    </row>
    <row r="55" spans="1:10" x14ac:dyDescent="0.2">
      <c r="A55" s="221">
        <f>IF(Values_Entered,A54+1,"")</f>
        <v>38</v>
      </c>
      <c r="B55" s="220">
        <f t="shared" si="0"/>
        <v>44672</v>
      </c>
      <c r="C55" s="218">
        <f t="shared" si="6"/>
        <v>876473.70456285717</v>
      </c>
      <c r="D55" s="218">
        <f t="shared" si="1"/>
        <v>6221.0853634570531</v>
      </c>
      <c r="E55" s="219">
        <f t="shared" si="2"/>
        <v>0</v>
      </c>
      <c r="F55" s="218">
        <f t="shared" si="3"/>
        <v>6221.0853634570531</v>
      </c>
      <c r="G55" s="218">
        <f t="shared" si="4"/>
        <v>2861.2694959661007</v>
      </c>
      <c r="H55" s="218">
        <f t="shared" si="7"/>
        <v>3359.8158674909523</v>
      </c>
      <c r="I55" s="218">
        <f t="shared" si="5"/>
        <v>873612.43506689102</v>
      </c>
      <c r="J55" s="218">
        <f>SUM($H$18:$H55)</f>
        <v>135013.67887825932</v>
      </c>
    </row>
    <row r="56" spans="1:10" x14ac:dyDescent="0.2">
      <c r="A56" s="221">
        <f>IF(Values_Entered,A55+1,"")</f>
        <v>39</v>
      </c>
      <c r="B56" s="220">
        <f t="shared" si="0"/>
        <v>44702</v>
      </c>
      <c r="C56" s="218">
        <f t="shared" si="6"/>
        <v>873612.43506689102</v>
      </c>
      <c r="D56" s="218">
        <f t="shared" si="1"/>
        <v>6221.0853634570531</v>
      </c>
      <c r="E56" s="219">
        <f t="shared" si="2"/>
        <v>0</v>
      </c>
      <c r="F56" s="218">
        <f t="shared" si="3"/>
        <v>6221.0853634570531</v>
      </c>
      <c r="G56" s="218">
        <f t="shared" si="4"/>
        <v>2872.2376957006377</v>
      </c>
      <c r="H56" s="218">
        <f t="shared" si="7"/>
        <v>3348.8476677564154</v>
      </c>
      <c r="I56" s="218">
        <f t="shared" si="5"/>
        <v>870740.19737119041</v>
      </c>
      <c r="J56" s="218">
        <f>SUM($H$18:$H56)</f>
        <v>138362.52654601572</v>
      </c>
    </row>
    <row r="57" spans="1:10" x14ac:dyDescent="0.2">
      <c r="A57" s="221">
        <f>IF(Values_Entered,A56+1,"")</f>
        <v>40</v>
      </c>
      <c r="B57" s="220">
        <f t="shared" si="0"/>
        <v>44733</v>
      </c>
      <c r="C57" s="218">
        <f t="shared" si="6"/>
        <v>870740.19737119041</v>
      </c>
      <c r="D57" s="218">
        <f t="shared" si="1"/>
        <v>6221.0853634570531</v>
      </c>
      <c r="E57" s="219">
        <f t="shared" si="2"/>
        <v>0</v>
      </c>
      <c r="F57" s="218">
        <f t="shared" si="3"/>
        <v>6221.0853634570531</v>
      </c>
      <c r="G57" s="218">
        <f t="shared" si="4"/>
        <v>2883.2479402008235</v>
      </c>
      <c r="H57" s="218">
        <f t="shared" si="7"/>
        <v>3337.8374232562296</v>
      </c>
      <c r="I57" s="218">
        <f t="shared" si="5"/>
        <v>867856.94943098957</v>
      </c>
      <c r="J57" s="218">
        <f>SUM($H$18:$H57)</f>
        <v>141700.36396927194</v>
      </c>
    </row>
    <row r="58" spans="1:10" x14ac:dyDescent="0.2">
      <c r="A58" s="221">
        <f>IF(Values_Entered,A57+1,"")</f>
        <v>41</v>
      </c>
      <c r="B58" s="220">
        <f t="shared" si="0"/>
        <v>44763</v>
      </c>
      <c r="C58" s="218">
        <f t="shared" si="6"/>
        <v>867856.94943098957</v>
      </c>
      <c r="D58" s="218">
        <f t="shared" si="1"/>
        <v>6221.0853634570531</v>
      </c>
      <c r="E58" s="219">
        <f t="shared" si="2"/>
        <v>0</v>
      </c>
      <c r="F58" s="218">
        <f t="shared" si="3"/>
        <v>6221.0853634570531</v>
      </c>
      <c r="G58" s="218">
        <f t="shared" si="4"/>
        <v>2894.3003906382596</v>
      </c>
      <c r="H58" s="218">
        <f t="shared" si="7"/>
        <v>3326.7849728187934</v>
      </c>
      <c r="I58" s="218">
        <f t="shared" si="5"/>
        <v>864962.64904035127</v>
      </c>
      <c r="J58" s="218">
        <f>SUM($H$18:$H58)</f>
        <v>145027.14894209075</v>
      </c>
    </row>
    <row r="59" spans="1:10" x14ac:dyDescent="0.2">
      <c r="A59" s="221">
        <f>IF(Values_Entered,A58+1,"")</f>
        <v>42</v>
      </c>
      <c r="B59" s="220">
        <f t="shared" si="0"/>
        <v>44794</v>
      </c>
      <c r="C59" s="218">
        <f t="shared" si="6"/>
        <v>864962.64904035127</v>
      </c>
      <c r="D59" s="218">
        <f t="shared" si="1"/>
        <v>6221.0853634570531</v>
      </c>
      <c r="E59" s="219">
        <f t="shared" si="2"/>
        <v>0</v>
      </c>
      <c r="F59" s="218">
        <f t="shared" si="3"/>
        <v>6221.0853634570531</v>
      </c>
      <c r="G59" s="218">
        <f t="shared" si="4"/>
        <v>2905.3952088023734</v>
      </c>
      <c r="H59" s="218">
        <f t="shared" si="7"/>
        <v>3315.6901546546796</v>
      </c>
      <c r="I59" s="218">
        <f t="shared" si="5"/>
        <v>862057.25383154885</v>
      </c>
      <c r="J59" s="218">
        <f>SUM($H$18:$H59)</f>
        <v>148342.83909674542</v>
      </c>
    </row>
    <row r="60" spans="1:10" x14ac:dyDescent="0.2">
      <c r="A60" s="221">
        <f>IF(Values_Entered,A59+1,"")</f>
        <v>43</v>
      </c>
      <c r="B60" s="220">
        <f t="shared" si="0"/>
        <v>44825</v>
      </c>
      <c r="C60" s="218">
        <f t="shared" si="6"/>
        <v>862057.25383154885</v>
      </c>
      <c r="D60" s="218">
        <f t="shared" si="1"/>
        <v>6221.0853634570531</v>
      </c>
      <c r="E60" s="219">
        <f t="shared" si="2"/>
        <v>0</v>
      </c>
      <c r="F60" s="218">
        <f t="shared" si="3"/>
        <v>6221.0853634570531</v>
      </c>
      <c r="G60" s="218">
        <f t="shared" si="4"/>
        <v>2916.5325571027829</v>
      </c>
      <c r="H60" s="218">
        <f t="shared" si="7"/>
        <v>3304.5528063542702</v>
      </c>
      <c r="I60" s="218">
        <f t="shared" si="5"/>
        <v>859140.72127444611</v>
      </c>
      <c r="J60" s="218">
        <f>SUM($H$18:$H60)</f>
        <v>151647.39190309969</v>
      </c>
    </row>
    <row r="61" spans="1:10" x14ac:dyDescent="0.2">
      <c r="A61" s="221">
        <f>IF(Values_Entered,A60+1,"")</f>
        <v>44</v>
      </c>
      <c r="B61" s="220">
        <f t="shared" si="0"/>
        <v>44855</v>
      </c>
      <c r="C61" s="218">
        <f t="shared" si="6"/>
        <v>859140.72127444611</v>
      </c>
      <c r="D61" s="218">
        <f t="shared" si="1"/>
        <v>6221.0853634570531</v>
      </c>
      <c r="E61" s="219">
        <f t="shared" si="2"/>
        <v>0</v>
      </c>
      <c r="F61" s="218">
        <f t="shared" si="3"/>
        <v>6221.0853634570531</v>
      </c>
      <c r="G61" s="218">
        <f t="shared" si="4"/>
        <v>2927.7125985716766</v>
      </c>
      <c r="H61" s="218">
        <f t="shared" si="7"/>
        <v>3293.3727648853765</v>
      </c>
      <c r="I61" s="218">
        <f t="shared" si="5"/>
        <v>856213.00867587444</v>
      </c>
      <c r="J61" s="218">
        <f>SUM($H$18:$H61)</f>
        <v>154940.76466798506</v>
      </c>
    </row>
    <row r="62" spans="1:10" x14ac:dyDescent="0.2">
      <c r="A62" s="221">
        <f>IF(Values_Entered,A61+1,"")</f>
        <v>45</v>
      </c>
      <c r="B62" s="220">
        <f t="shared" si="0"/>
        <v>44886</v>
      </c>
      <c r="C62" s="218">
        <f t="shared" si="6"/>
        <v>856213.00867587444</v>
      </c>
      <c r="D62" s="218">
        <f t="shared" si="1"/>
        <v>6221.0853634570531</v>
      </c>
      <c r="E62" s="219">
        <f t="shared" si="2"/>
        <v>0</v>
      </c>
      <c r="F62" s="218">
        <f t="shared" si="3"/>
        <v>6221.0853634570531</v>
      </c>
      <c r="G62" s="218">
        <f t="shared" si="4"/>
        <v>2938.9354968662014</v>
      </c>
      <c r="H62" s="218">
        <f t="shared" si="7"/>
        <v>3282.1498665908516</v>
      </c>
      <c r="I62" s="218">
        <f t="shared" si="5"/>
        <v>853274.07317900821</v>
      </c>
      <c r="J62" s="218">
        <f>SUM($H$18:$H62)</f>
        <v>158222.91453457592</v>
      </c>
    </row>
    <row r="63" spans="1:10" x14ac:dyDescent="0.2">
      <c r="A63" s="221">
        <f>IF(Values_Entered,A62+1,"")</f>
        <v>46</v>
      </c>
      <c r="B63" s="220">
        <f t="shared" si="0"/>
        <v>44916</v>
      </c>
      <c r="C63" s="218">
        <f t="shared" si="6"/>
        <v>853274.07317900821</v>
      </c>
      <c r="D63" s="218">
        <f t="shared" si="1"/>
        <v>6221.0853634570531</v>
      </c>
      <c r="E63" s="219">
        <f t="shared" si="2"/>
        <v>0</v>
      </c>
      <c r="F63" s="218">
        <f t="shared" si="3"/>
        <v>6221.0853634570531</v>
      </c>
      <c r="G63" s="218">
        <f t="shared" si="4"/>
        <v>2950.2014162708551</v>
      </c>
      <c r="H63" s="218">
        <f t="shared" si="7"/>
        <v>3270.8839471861979</v>
      </c>
      <c r="I63" s="218">
        <f t="shared" si="5"/>
        <v>850323.8717627374</v>
      </c>
      <c r="J63" s="218">
        <f>SUM($H$18:$H63)</f>
        <v>161493.79848176212</v>
      </c>
    </row>
    <row r="64" spans="1:10" x14ac:dyDescent="0.2">
      <c r="A64" s="221">
        <f>IF(Values_Entered,A63+1,"")</f>
        <v>47</v>
      </c>
      <c r="B64" s="220">
        <f t="shared" si="0"/>
        <v>44947</v>
      </c>
      <c r="C64" s="218">
        <f t="shared" si="6"/>
        <v>850323.8717627374</v>
      </c>
      <c r="D64" s="218">
        <f t="shared" si="1"/>
        <v>6221.0853634570531</v>
      </c>
      <c r="E64" s="219">
        <f t="shared" si="2"/>
        <v>0</v>
      </c>
      <c r="F64" s="218">
        <f t="shared" si="3"/>
        <v>6221.0853634570531</v>
      </c>
      <c r="G64" s="218">
        <f t="shared" si="4"/>
        <v>2961.5105216998932</v>
      </c>
      <c r="H64" s="218">
        <f t="shared" si="7"/>
        <v>3259.5748417571599</v>
      </c>
      <c r="I64" s="218">
        <f t="shared" si="5"/>
        <v>847362.36124103749</v>
      </c>
      <c r="J64" s="218">
        <f>SUM($H$18:$H64)</f>
        <v>164753.37332351928</v>
      </c>
    </row>
    <row r="65" spans="1:10" x14ac:dyDescent="0.2">
      <c r="A65" s="221">
        <f>IF(Values_Entered,A64+1,"")</f>
        <v>48</v>
      </c>
      <c r="B65" s="220">
        <f t="shared" si="0"/>
        <v>44978</v>
      </c>
      <c r="C65" s="218">
        <f t="shared" si="6"/>
        <v>847362.36124103749</v>
      </c>
      <c r="D65" s="218">
        <f t="shared" si="1"/>
        <v>6221.0853634570531</v>
      </c>
      <c r="E65" s="219">
        <f t="shared" si="2"/>
        <v>0</v>
      </c>
      <c r="F65" s="218">
        <f t="shared" si="3"/>
        <v>6221.0853634570531</v>
      </c>
      <c r="G65" s="218">
        <f t="shared" si="4"/>
        <v>2972.8629786997431</v>
      </c>
      <c r="H65" s="218">
        <f t="shared" si="7"/>
        <v>3248.22238475731</v>
      </c>
      <c r="I65" s="218">
        <f t="shared" si="5"/>
        <v>844389.49826233776</v>
      </c>
      <c r="J65" s="218">
        <f>SUM($H$18:$H65)</f>
        <v>168001.59570827658</v>
      </c>
    </row>
    <row r="66" spans="1:10" x14ac:dyDescent="0.2">
      <c r="A66" s="221">
        <f>IF(Values_Entered,A65+1,"")</f>
        <v>49</v>
      </c>
      <c r="B66" s="220">
        <f t="shared" si="0"/>
        <v>45006</v>
      </c>
      <c r="C66" s="218">
        <f t="shared" si="6"/>
        <v>844389.49826233776</v>
      </c>
      <c r="D66" s="218">
        <f t="shared" si="1"/>
        <v>6221.0853634570531</v>
      </c>
      <c r="E66" s="219">
        <f t="shared" si="2"/>
        <v>0</v>
      </c>
      <c r="F66" s="218">
        <f t="shared" si="3"/>
        <v>6221.0853634570531</v>
      </c>
      <c r="G66" s="218">
        <f t="shared" si="4"/>
        <v>2984.258953451425</v>
      </c>
      <c r="H66" s="218">
        <f t="shared" si="7"/>
        <v>3236.8264100056281</v>
      </c>
      <c r="I66" s="218">
        <f t="shared" si="5"/>
        <v>841405.23930888635</v>
      </c>
      <c r="J66" s="218">
        <f>SUM($H$18:$H66)</f>
        <v>171238.42211828221</v>
      </c>
    </row>
    <row r="67" spans="1:10" x14ac:dyDescent="0.2">
      <c r="A67" s="221">
        <f>IF(Values_Entered,A66+1,"")</f>
        <v>50</v>
      </c>
      <c r="B67" s="220">
        <f t="shared" si="0"/>
        <v>45037</v>
      </c>
      <c r="C67" s="218">
        <f t="shared" si="6"/>
        <v>841405.23930888635</v>
      </c>
      <c r="D67" s="218">
        <f t="shared" si="1"/>
        <v>6221.0853634570531</v>
      </c>
      <c r="E67" s="219">
        <f t="shared" si="2"/>
        <v>0</v>
      </c>
      <c r="F67" s="218">
        <f t="shared" si="3"/>
        <v>6221.0853634570531</v>
      </c>
      <c r="G67" s="218">
        <f t="shared" si="4"/>
        <v>2995.6986127729892</v>
      </c>
      <c r="H67" s="218">
        <f t="shared" si="7"/>
        <v>3225.3867506840638</v>
      </c>
      <c r="I67" s="218">
        <f t="shared" si="5"/>
        <v>838409.54069611337</v>
      </c>
      <c r="J67" s="218">
        <f>SUM($H$18:$H67)</f>
        <v>174463.80886896627</v>
      </c>
    </row>
    <row r="68" spans="1:10" x14ac:dyDescent="0.2">
      <c r="A68" s="221">
        <f>IF(Values_Entered,A67+1,"")</f>
        <v>51</v>
      </c>
      <c r="B68" s="220">
        <f t="shared" si="0"/>
        <v>45067</v>
      </c>
      <c r="C68" s="218">
        <f t="shared" si="6"/>
        <v>838409.54069611337</v>
      </c>
      <c r="D68" s="218">
        <f t="shared" si="1"/>
        <v>6221.0853634570531</v>
      </c>
      <c r="E68" s="219">
        <f t="shared" si="2"/>
        <v>0</v>
      </c>
      <c r="F68" s="218">
        <f t="shared" si="3"/>
        <v>6221.0853634570531</v>
      </c>
      <c r="G68" s="218">
        <f t="shared" si="4"/>
        <v>3007.1821241219518</v>
      </c>
      <c r="H68" s="218">
        <f t="shared" si="7"/>
        <v>3213.9032393351013</v>
      </c>
      <c r="I68" s="218">
        <f t="shared" si="5"/>
        <v>835402.35857199144</v>
      </c>
      <c r="J68" s="218">
        <f>SUM($H$18:$H68)</f>
        <v>177677.71210830138</v>
      </c>
    </row>
    <row r="69" spans="1:10" x14ac:dyDescent="0.2">
      <c r="A69" s="221">
        <f>IF(Values_Entered,A68+1,"")</f>
        <v>52</v>
      </c>
      <c r="B69" s="220">
        <f t="shared" si="0"/>
        <v>45098</v>
      </c>
      <c r="C69" s="218">
        <f t="shared" si="6"/>
        <v>835402.35857199144</v>
      </c>
      <c r="D69" s="218">
        <f t="shared" si="1"/>
        <v>6221.0853634570531</v>
      </c>
      <c r="E69" s="219">
        <f t="shared" si="2"/>
        <v>0</v>
      </c>
      <c r="F69" s="218">
        <f t="shared" si="3"/>
        <v>6221.0853634570531</v>
      </c>
      <c r="G69" s="218">
        <f t="shared" si="4"/>
        <v>3018.7096555977523</v>
      </c>
      <c r="H69" s="218">
        <f t="shared" si="7"/>
        <v>3202.3757078593007</v>
      </c>
      <c r="I69" s="218">
        <f t="shared" si="5"/>
        <v>832383.64891639363</v>
      </c>
      <c r="J69" s="218">
        <f>SUM($H$18:$H69)</f>
        <v>180880.08781616067</v>
      </c>
    </row>
    <row r="70" spans="1:10" x14ac:dyDescent="0.2">
      <c r="A70" s="221">
        <f>IF(Values_Entered,A69+1,"")</f>
        <v>53</v>
      </c>
      <c r="B70" s="220">
        <f t="shared" si="0"/>
        <v>45128</v>
      </c>
      <c r="C70" s="218">
        <f t="shared" si="6"/>
        <v>832383.64891639363</v>
      </c>
      <c r="D70" s="218">
        <f t="shared" si="1"/>
        <v>6221.0853634570531</v>
      </c>
      <c r="E70" s="219">
        <f t="shared" si="2"/>
        <v>0</v>
      </c>
      <c r="F70" s="218">
        <f t="shared" si="3"/>
        <v>6221.0853634570531</v>
      </c>
      <c r="G70" s="218">
        <f t="shared" si="4"/>
        <v>3030.281375944211</v>
      </c>
      <c r="H70" s="218">
        <f t="shared" si="7"/>
        <v>3190.803987512842</v>
      </c>
      <c r="I70" s="218">
        <f t="shared" si="5"/>
        <v>829353.36754044937</v>
      </c>
      <c r="J70" s="218">
        <f>SUM($H$18:$H70)</f>
        <v>184070.8918036735</v>
      </c>
    </row>
    <row r="71" spans="1:10" x14ac:dyDescent="0.2">
      <c r="A71" s="221">
        <f>IF(Values_Entered,A70+1,"")</f>
        <v>54</v>
      </c>
      <c r="B71" s="220">
        <f t="shared" si="0"/>
        <v>45159</v>
      </c>
      <c r="C71" s="218">
        <f t="shared" si="6"/>
        <v>829353.36754044937</v>
      </c>
      <c r="D71" s="218">
        <f t="shared" si="1"/>
        <v>6221.0853634570531</v>
      </c>
      <c r="E71" s="219">
        <f t="shared" si="2"/>
        <v>0</v>
      </c>
      <c r="F71" s="218">
        <f t="shared" si="3"/>
        <v>6221.0853634570531</v>
      </c>
      <c r="G71" s="218">
        <f t="shared" si="4"/>
        <v>3041.8974545519973</v>
      </c>
      <c r="H71" s="218">
        <f t="shared" si="7"/>
        <v>3179.1879089050558</v>
      </c>
      <c r="I71" s="218">
        <f t="shared" si="5"/>
        <v>826311.47008589737</v>
      </c>
      <c r="J71" s="218">
        <f>SUM($H$18:$H71)</f>
        <v>187250.07971257856</v>
      </c>
    </row>
    <row r="72" spans="1:10" x14ac:dyDescent="0.2">
      <c r="A72" s="221">
        <f>IF(Values_Entered,A71+1,"")</f>
        <v>55</v>
      </c>
      <c r="B72" s="220">
        <f t="shared" si="0"/>
        <v>45190</v>
      </c>
      <c r="C72" s="218">
        <f t="shared" si="6"/>
        <v>826311.47008589737</v>
      </c>
      <c r="D72" s="218">
        <f t="shared" si="1"/>
        <v>6221.0853634570531</v>
      </c>
      <c r="E72" s="219">
        <f t="shared" si="2"/>
        <v>0</v>
      </c>
      <c r="F72" s="218">
        <f t="shared" si="3"/>
        <v>6221.0853634570531</v>
      </c>
      <c r="G72" s="218">
        <f t="shared" si="4"/>
        <v>3053.5580614611131</v>
      </c>
      <c r="H72" s="218">
        <f t="shared" si="7"/>
        <v>3167.52730199594</v>
      </c>
      <c r="I72" s="218">
        <f t="shared" si="5"/>
        <v>823257.91202443629</v>
      </c>
      <c r="J72" s="218">
        <f>SUM($H$18:$H72)</f>
        <v>190417.60701457449</v>
      </c>
    </row>
    <row r="73" spans="1:10" x14ac:dyDescent="0.2">
      <c r="A73" s="221">
        <f>IF(Values_Entered,A72+1,"")</f>
        <v>56</v>
      </c>
      <c r="B73" s="220">
        <f t="shared" si="0"/>
        <v>45220</v>
      </c>
      <c r="C73" s="218">
        <f t="shared" si="6"/>
        <v>823257.91202443629</v>
      </c>
      <c r="D73" s="218">
        <f t="shared" si="1"/>
        <v>6221.0853634570531</v>
      </c>
      <c r="E73" s="219">
        <f t="shared" si="2"/>
        <v>0</v>
      </c>
      <c r="F73" s="218">
        <f t="shared" si="3"/>
        <v>6221.0853634570531</v>
      </c>
      <c r="G73" s="218">
        <f t="shared" si="4"/>
        <v>3065.2633673633804</v>
      </c>
      <c r="H73" s="218">
        <f t="shared" si="7"/>
        <v>3155.8219960936726</v>
      </c>
      <c r="I73" s="218">
        <f t="shared" si="5"/>
        <v>820192.64865707292</v>
      </c>
      <c r="J73" s="218">
        <f>SUM($H$18:$H73)</f>
        <v>193573.42901066816</v>
      </c>
    </row>
    <row r="74" spans="1:10" x14ac:dyDescent="0.2">
      <c r="A74" s="221">
        <f>IF(Values_Entered,A73+1,"")</f>
        <v>57</v>
      </c>
      <c r="B74" s="220">
        <f t="shared" si="0"/>
        <v>45251</v>
      </c>
      <c r="C74" s="218">
        <f t="shared" si="6"/>
        <v>820192.64865707292</v>
      </c>
      <c r="D74" s="218">
        <f t="shared" si="1"/>
        <v>6221.0853634570531</v>
      </c>
      <c r="E74" s="219">
        <f t="shared" si="2"/>
        <v>0</v>
      </c>
      <c r="F74" s="218">
        <f t="shared" si="3"/>
        <v>6221.0853634570531</v>
      </c>
      <c r="G74" s="218">
        <f t="shared" si="4"/>
        <v>3077.01354360494</v>
      </c>
      <c r="H74" s="218">
        <f t="shared" si="7"/>
        <v>3144.0718198521131</v>
      </c>
      <c r="I74" s="218">
        <f t="shared" si="5"/>
        <v>817115.63511346793</v>
      </c>
      <c r="J74" s="218">
        <f>SUM($H$18:$H74)</f>
        <v>196717.50083052026</v>
      </c>
    </row>
    <row r="75" spans="1:10" x14ac:dyDescent="0.2">
      <c r="A75" s="221">
        <f>IF(Values_Entered,A74+1,"")</f>
        <v>58</v>
      </c>
      <c r="B75" s="220">
        <f t="shared" si="0"/>
        <v>45281</v>
      </c>
      <c r="C75" s="218">
        <f t="shared" si="6"/>
        <v>817115.63511346793</v>
      </c>
      <c r="D75" s="218">
        <f t="shared" si="1"/>
        <v>6221.0853634570531</v>
      </c>
      <c r="E75" s="219">
        <f t="shared" si="2"/>
        <v>0</v>
      </c>
      <c r="F75" s="218">
        <f t="shared" si="3"/>
        <v>6221.0853634570531</v>
      </c>
      <c r="G75" s="218">
        <f t="shared" si="4"/>
        <v>3088.8087621887594</v>
      </c>
      <c r="H75" s="218">
        <f t="shared" si="7"/>
        <v>3132.2766012682937</v>
      </c>
      <c r="I75" s="218">
        <f t="shared" si="5"/>
        <v>814026.82635127916</v>
      </c>
      <c r="J75" s="218">
        <f>SUM($H$18:$H75)</f>
        <v>199849.77743178856</v>
      </c>
    </row>
    <row r="76" spans="1:10" x14ac:dyDescent="0.2">
      <c r="A76" s="221">
        <f>IF(Values_Entered,A75+1,"")</f>
        <v>59</v>
      </c>
      <c r="B76" s="220">
        <f t="shared" si="0"/>
        <v>45312</v>
      </c>
      <c r="C76" s="218">
        <f t="shared" si="6"/>
        <v>814026.82635127916</v>
      </c>
      <c r="D76" s="218">
        <f t="shared" si="1"/>
        <v>6221.0853634570531</v>
      </c>
      <c r="E76" s="219">
        <f t="shared" si="2"/>
        <v>0</v>
      </c>
      <c r="F76" s="218">
        <f t="shared" si="3"/>
        <v>6221.0853634570531</v>
      </c>
      <c r="G76" s="218">
        <f t="shared" si="4"/>
        <v>3100.6491957771495</v>
      </c>
      <c r="H76" s="218">
        <f t="shared" si="7"/>
        <v>3120.4361676799035</v>
      </c>
      <c r="I76" s="218">
        <f t="shared" si="5"/>
        <v>810926.17715550202</v>
      </c>
      <c r="J76" s="218">
        <f>SUM($H$18:$H76)</f>
        <v>202970.21359946846</v>
      </c>
    </row>
    <row r="77" spans="1:10" x14ac:dyDescent="0.2">
      <c r="A77" s="221">
        <f>IF(Values_Entered,A76+1,"")</f>
        <v>60</v>
      </c>
      <c r="B77" s="220">
        <f t="shared" si="0"/>
        <v>45343</v>
      </c>
      <c r="C77" s="218">
        <f t="shared" si="6"/>
        <v>810926.17715550202</v>
      </c>
      <c r="D77" s="218">
        <f t="shared" si="1"/>
        <v>6221.0853634570531</v>
      </c>
      <c r="E77" s="219">
        <f t="shared" si="2"/>
        <v>0</v>
      </c>
      <c r="F77" s="218">
        <f t="shared" si="3"/>
        <v>6221.0853634570531</v>
      </c>
      <c r="G77" s="218">
        <f t="shared" si="4"/>
        <v>3112.5350176942952</v>
      </c>
      <c r="H77" s="218">
        <f t="shared" si="7"/>
        <v>3108.5503457627578</v>
      </c>
      <c r="I77" s="218">
        <f t="shared" si="5"/>
        <v>807813.64213780768</v>
      </c>
      <c r="J77" s="218">
        <f>SUM($H$18:$H77)</f>
        <v>206078.76394523121</v>
      </c>
    </row>
    <row r="78" spans="1:10" x14ac:dyDescent="0.2">
      <c r="A78" s="221">
        <f>IF(Values_Entered,A77+1,"")</f>
        <v>61</v>
      </c>
      <c r="B78" s="220">
        <f t="shared" si="0"/>
        <v>45372</v>
      </c>
      <c r="C78" s="218">
        <f t="shared" si="6"/>
        <v>807813.64213780768</v>
      </c>
      <c r="D78" s="218">
        <f t="shared" si="1"/>
        <v>6221.0853634570531</v>
      </c>
      <c r="E78" s="219">
        <f t="shared" si="2"/>
        <v>0</v>
      </c>
      <c r="F78" s="218">
        <f t="shared" si="3"/>
        <v>6221.0853634570531</v>
      </c>
      <c r="G78" s="218">
        <f t="shared" si="4"/>
        <v>3124.4664019287907</v>
      </c>
      <c r="H78" s="218">
        <f t="shared" si="7"/>
        <v>3096.6189615282624</v>
      </c>
      <c r="I78" s="218">
        <f t="shared" si="5"/>
        <v>804689.17573587887</v>
      </c>
      <c r="J78" s="218">
        <f>SUM($H$18:$H78)</f>
        <v>209175.38290675948</v>
      </c>
    </row>
    <row r="79" spans="1:10" x14ac:dyDescent="0.2">
      <c r="A79" s="221">
        <f>IF(Values_Entered,A78+1,"")</f>
        <v>62</v>
      </c>
      <c r="B79" s="220">
        <f t="shared" si="0"/>
        <v>45403</v>
      </c>
      <c r="C79" s="218">
        <f t="shared" si="6"/>
        <v>804689.17573587887</v>
      </c>
      <c r="D79" s="218">
        <f t="shared" si="1"/>
        <v>6221.0853634570531</v>
      </c>
      <c r="E79" s="219">
        <f t="shared" si="2"/>
        <v>0</v>
      </c>
      <c r="F79" s="218">
        <f t="shared" si="3"/>
        <v>6221.0853634570531</v>
      </c>
      <c r="G79" s="218">
        <f t="shared" si="4"/>
        <v>3136.4435231361845</v>
      </c>
      <c r="H79" s="218">
        <f t="shared" si="7"/>
        <v>3084.6418403208686</v>
      </c>
      <c r="I79" s="218">
        <f t="shared" si="5"/>
        <v>801552.73221274267</v>
      </c>
      <c r="J79" s="218">
        <f>SUM($H$18:$H79)</f>
        <v>212260.02474708034</v>
      </c>
    </row>
    <row r="80" spans="1:10" x14ac:dyDescent="0.2">
      <c r="A80" s="221">
        <f>IF(Values_Entered,A79+1,"")</f>
        <v>63</v>
      </c>
      <c r="B80" s="220">
        <f t="shared" si="0"/>
        <v>45433</v>
      </c>
      <c r="C80" s="218">
        <f t="shared" si="6"/>
        <v>801552.73221274267</v>
      </c>
      <c r="D80" s="218">
        <f t="shared" si="1"/>
        <v>6221.0853634570531</v>
      </c>
      <c r="E80" s="219">
        <f t="shared" si="2"/>
        <v>0</v>
      </c>
      <c r="F80" s="218">
        <f t="shared" si="3"/>
        <v>6221.0853634570531</v>
      </c>
      <c r="G80" s="218">
        <f t="shared" si="4"/>
        <v>3148.4665566415397</v>
      </c>
      <c r="H80" s="218">
        <f t="shared" si="7"/>
        <v>3072.6188068155134</v>
      </c>
      <c r="I80" s="218">
        <f t="shared" si="5"/>
        <v>798404.26565610117</v>
      </c>
      <c r="J80" s="218">
        <f>SUM($H$18:$H80)</f>
        <v>215332.64355389585</v>
      </c>
    </row>
    <row r="81" spans="1:10" x14ac:dyDescent="0.2">
      <c r="A81" s="221">
        <f>IF(Values_Entered,A80+1,"")</f>
        <v>64</v>
      </c>
      <c r="B81" s="220">
        <f t="shared" si="0"/>
        <v>45464</v>
      </c>
      <c r="C81" s="218">
        <f t="shared" si="6"/>
        <v>798404.26565610117</v>
      </c>
      <c r="D81" s="218">
        <f t="shared" si="1"/>
        <v>6221.0853634570531</v>
      </c>
      <c r="E81" s="219">
        <f t="shared" si="2"/>
        <v>0</v>
      </c>
      <c r="F81" s="218">
        <f t="shared" si="3"/>
        <v>6221.0853634570531</v>
      </c>
      <c r="G81" s="218">
        <f t="shared" si="4"/>
        <v>3160.5356784419987</v>
      </c>
      <c r="H81" s="218">
        <f t="shared" si="7"/>
        <v>3060.5496850150544</v>
      </c>
      <c r="I81" s="218">
        <f t="shared" si="5"/>
        <v>795243.72997765918</v>
      </c>
      <c r="J81" s="218">
        <f>SUM($H$18:$H81)</f>
        <v>218393.1932389109</v>
      </c>
    </row>
    <row r="82" spans="1:10" x14ac:dyDescent="0.2">
      <c r="A82" s="221">
        <f>IF(Values_Entered,A81+1,"")</f>
        <v>65</v>
      </c>
      <c r="B82" s="220">
        <f t="shared" ref="B82:B145" si="8">IF(Pay_Num&lt;&gt;"",DATE(YEAR(Loan_Start),MONTH(Loan_Start)+(Pay_Num)*12/Num_Pmt_Per_Year,DAY(Loan_Start)),"")</f>
        <v>45494</v>
      </c>
      <c r="C82" s="218">
        <f t="shared" si="6"/>
        <v>795243.72997765918</v>
      </c>
      <c r="D82" s="218">
        <f t="shared" ref="D82:D145" si="9">IF(Pay_Num&lt;&gt;"",Scheduled_Monthly_Payment,"")</f>
        <v>6221.0853634570531</v>
      </c>
      <c r="E82" s="219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218">
        <f t="shared" ref="F82:F145" si="11">IF(AND(Pay_Num&lt;&gt;"",Sched_Pay+Extra_Pay&lt;Beg_Bal),Sched_Pay+Extra_Pay,IF(Pay_Num&lt;&gt;"",Beg_Bal,""))</f>
        <v>6221.0853634570531</v>
      </c>
      <c r="G82" s="218">
        <f t="shared" ref="G82:G145" si="12">IF(Pay_Num&lt;&gt;"",Total_Pay-Int,"")</f>
        <v>3172.6510652093593</v>
      </c>
      <c r="H82" s="218">
        <f t="shared" si="7"/>
        <v>3048.4342982476937</v>
      </c>
      <c r="I82" s="218">
        <f t="shared" ref="I82:I145" si="13">IF(AND(Pay_Num&lt;&gt;"",Sched_Pay+Extra_Pay&lt;Beg_Bal),Beg_Bal-Princ,IF(Pay_Num&lt;&gt;"",0,""))</f>
        <v>792071.07891244977</v>
      </c>
      <c r="J82" s="218">
        <f>SUM($H$18:$H82)</f>
        <v>221441.62753715858</v>
      </c>
    </row>
    <row r="83" spans="1:10" x14ac:dyDescent="0.2">
      <c r="A83" s="221">
        <f>IF(Values_Entered,A82+1,"")</f>
        <v>66</v>
      </c>
      <c r="B83" s="220">
        <f t="shared" si="8"/>
        <v>45525</v>
      </c>
      <c r="C83" s="218">
        <f t="shared" ref="C83:C146" si="14">IF(Pay_Num&lt;&gt;"",I82,"")</f>
        <v>792071.07891244977</v>
      </c>
      <c r="D83" s="218">
        <f t="shared" si="9"/>
        <v>6221.0853634570531</v>
      </c>
      <c r="E83" s="219">
        <f t="shared" si="10"/>
        <v>0</v>
      </c>
      <c r="F83" s="218">
        <f t="shared" si="11"/>
        <v>6221.0853634570531</v>
      </c>
      <c r="G83" s="218">
        <f t="shared" si="12"/>
        <v>3184.8128942926623</v>
      </c>
      <c r="H83" s="218">
        <f t="shared" ref="H83:H146" si="15">IF(Pay_Num&lt;&gt;"",Beg_Bal*Interest_Rate/Num_Pmt_Per_Year,"")</f>
        <v>3036.2724691643907</v>
      </c>
      <c r="I83" s="218">
        <f t="shared" si="13"/>
        <v>788886.26601815713</v>
      </c>
      <c r="J83" s="218">
        <f>SUM($H$18:$H83)</f>
        <v>224477.90000632298</v>
      </c>
    </row>
    <row r="84" spans="1:10" x14ac:dyDescent="0.2">
      <c r="A84" s="221">
        <f>IF(Values_Entered,A83+1,"")</f>
        <v>67</v>
      </c>
      <c r="B84" s="220">
        <f t="shared" si="8"/>
        <v>45556</v>
      </c>
      <c r="C84" s="218">
        <f t="shared" si="14"/>
        <v>788886.26601815713</v>
      </c>
      <c r="D84" s="218">
        <f t="shared" si="9"/>
        <v>6221.0853634570531</v>
      </c>
      <c r="E84" s="219">
        <f t="shared" si="10"/>
        <v>0</v>
      </c>
      <c r="F84" s="218">
        <f t="shared" si="11"/>
        <v>6221.0853634570531</v>
      </c>
      <c r="G84" s="218">
        <f t="shared" si="12"/>
        <v>3197.0213437207844</v>
      </c>
      <c r="H84" s="218">
        <f t="shared" si="15"/>
        <v>3024.0640197362686</v>
      </c>
      <c r="I84" s="218">
        <f t="shared" si="13"/>
        <v>785689.2446744364</v>
      </c>
      <c r="J84" s="218">
        <f>SUM($H$18:$H84)</f>
        <v>227501.96402605926</v>
      </c>
    </row>
    <row r="85" spans="1:10" x14ac:dyDescent="0.2">
      <c r="A85" s="221">
        <f>IF(Values_Entered,A84+1,"")</f>
        <v>68</v>
      </c>
      <c r="B85" s="220">
        <f t="shared" si="8"/>
        <v>45586</v>
      </c>
      <c r="C85" s="218">
        <f t="shared" si="14"/>
        <v>785689.2446744364</v>
      </c>
      <c r="D85" s="218">
        <f t="shared" si="9"/>
        <v>6221.0853634570531</v>
      </c>
      <c r="E85" s="219">
        <f t="shared" si="10"/>
        <v>0</v>
      </c>
      <c r="F85" s="218">
        <f t="shared" si="11"/>
        <v>6221.0853634570531</v>
      </c>
      <c r="G85" s="218">
        <f t="shared" si="12"/>
        <v>3209.2765922050467</v>
      </c>
      <c r="H85" s="218">
        <f t="shared" si="15"/>
        <v>3011.8087712520064</v>
      </c>
      <c r="I85" s="218">
        <f t="shared" si="13"/>
        <v>782479.96808223135</v>
      </c>
      <c r="J85" s="218">
        <f>SUM($H$18:$H85)</f>
        <v>230513.77279731125</v>
      </c>
    </row>
    <row r="86" spans="1:10" x14ac:dyDescent="0.2">
      <c r="A86" s="221">
        <f>IF(Values_Entered,A85+1,"")</f>
        <v>69</v>
      </c>
      <c r="B86" s="220">
        <f t="shared" si="8"/>
        <v>45617</v>
      </c>
      <c r="C86" s="218">
        <f t="shared" si="14"/>
        <v>782479.96808223135</v>
      </c>
      <c r="D86" s="218">
        <f t="shared" si="9"/>
        <v>6221.0853634570531</v>
      </c>
      <c r="E86" s="219">
        <f t="shared" si="10"/>
        <v>0</v>
      </c>
      <c r="F86" s="218">
        <f t="shared" si="11"/>
        <v>6221.0853634570531</v>
      </c>
      <c r="G86" s="218">
        <f t="shared" si="12"/>
        <v>3221.5788191418328</v>
      </c>
      <c r="H86" s="218">
        <f t="shared" si="15"/>
        <v>2999.5065443152203</v>
      </c>
      <c r="I86" s="218">
        <f t="shared" si="13"/>
        <v>779258.38926308951</v>
      </c>
      <c r="J86" s="218">
        <f>SUM($H$18:$H86)</f>
        <v>233513.27934162648</v>
      </c>
    </row>
    <row r="87" spans="1:10" x14ac:dyDescent="0.2">
      <c r="A87" s="221">
        <f>IF(Values_Entered,A86+1,"")</f>
        <v>70</v>
      </c>
      <c r="B87" s="220">
        <f t="shared" si="8"/>
        <v>45647</v>
      </c>
      <c r="C87" s="218">
        <f t="shared" si="14"/>
        <v>779258.38926308951</v>
      </c>
      <c r="D87" s="218">
        <f t="shared" si="9"/>
        <v>6221.0853634570531</v>
      </c>
      <c r="E87" s="219">
        <f t="shared" si="10"/>
        <v>0</v>
      </c>
      <c r="F87" s="218">
        <f t="shared" si="11"/>
        <v>6221.0853634570531</v>
      </c>
      <c r="G87" s="218">
        <f t="shared" si="12"/>
        <v>3233.9282046152102</v>
      </c>
      <c r="H87" s="218">
        <f t="shared" si="15"/>
        <v>2987.1571588418428</v>
      </c>
      <c r="I87" s="218">
        <f t="shared" si="13"/>
        <v>776024.46105847426</v>
      </c>
      <c r="J87" s="218">
        <f>SUM($H$18:$H87)</f>
        <v>236500.43650046832</v>
      </c>
    </row>
    <row r="88" spans="1:10" x14ac:dyDescent="0.2">
      <c r="A88" s="221">
        <f>IF(Values_Entered,A87+1,"")</f>
        <v>71</v>
      </c>
      <c r="B88" s="220">
        <f t="shared" si="8"/>
        <v>45678</v>
      </c>
      <c r="C88" s="218">
        <f t="shared" si="14"/>
        <v>776024.46105847426</v>
      </c>
      <c r="D88" s="218">
        <f t="shared" si="9"/>
        <v>6221.0853634570531</v>
      </c>
      <c r="E88" s="219">
        <f t="shared" si="10"/>
        <v>0</v>
      </c>
      <c r="F88" s="218">
        <f t="shared" si="11"/>
        <v>6221.0853634570531</v>
      </c>
      <c r="G88" s="218">
        <f t="shared" si="12"/>
        <v>3246.3249293995682</v>
      </c>
      <c r="H88" s="218">
        <f t="shared" si="15"/>
        <v>2974.7604340574849</v>
      </c>
      <c r="I88" s="218">
        <f t="shared" si="13"/>
        <v>772778.13612907473</v>
      </c>
      <c r="J88" s="218">
        <f>SUM($H$18:$H88)</f>
        <v>239475.1969345258</v>
      </c>
    </row>
    <row r="89" spans="1:10" x14ac:dyDescent="0.2">
      <c r="A89" s="221">
        <f>IF(Values_Entered,A88+1,"")</f>
        <v>72</v>
      </c>
      <c r="B89" s="220">
        <f t="shared" si="8"/>
        <v>45709</v>
      </c>
      <c r="C89" s="218">
        <f t="shared" si="14"/>
        <v>772778.13612907473</v>
      </c>
      <c r="D89" s="218">
        <f t="shared" si="9"/>
        <v>6221.0853634570531</v>
      </c>
      <c r="E89" s="219">
        <f t="shared" si="10"/>
        <v>0</v>
      </c>
      <c r="F89" s="218">
        <f t="shared" si="11"/>
        <v>6221.0853634570531</v>
      </c>
      <c r="G89" s="218">
        <f t="shared" si="12"/>
        <v>3258.7691749622668</v>
      </c>
      <c r="H89" s="218">
        <f t="shared" si="15"/>
        <v>2962.3161884947863</v>
      </c>
      <c r="I89" s="218">
        <f t="shared" si="13"/>
        <v>769519.36695411243</v>
      </c>
      <c r="J89" s="218">
        <f>SUM($H$18:$H89)</f>
        <v>242437.51312302059</v>
      </c>
    </row>
    <row r="90" spans="1:10" x14ac:dyDescent="0.2">
      <c r="A90" s="221">
        <f>IF(Values_Entered,A89+1,"")</f>
        <v>73</v>
      </c>
      <c r="B90" s="220">
        <f t="shared" si="8"/>
        <v>45737</v>
      </c>
      <c r="C90" s="218">
        <f t="shared" si="14"/>
        <v>769519.36695411243</v>
      </c>
      <c r="D90" s="218">
        <f t="shared" si="9"/>
        <v>6221.0853634570531</v>
      </c>
      <c r="E90" s="219">
        <f t="shared" si="10"/>
        <v>0</v>
      </c>
      <c r="F90" s="218">
        <f t="shared" si="11"/>
        <v>6221.0853634570531</v>
      </c>
      <c r="G90" s="218">
        <f t="shared" si="12"/>
        <v>3271.2611234662886</v>
      </c>
      <c r="H90" s="218">
        <f t="shared" si="15"/>
        <v>2949.8242399907645</v>
      </c>
      <c r="I90" s="218">
        <f t="shared" si="13"/>
        <v>766248.10583064612</v>
      </c>
      <c r="J90" s="218">
        <f>SUM($H$18:$H90)</f>
        <v>245387.33736301135</v>
      </c>
    </row>
    <row r="91" spans="1:10" x14ac:dyDescent="0.2">
      <c r="A91" s="221">
        <f>IF(Values_Entered,A90+1,"")</f>
        <v>74</v>
      </c>
      <c r="B91" s="220">
        <f t="shared" si="8"/>
        <v>45768</v>
      </c>
      <c r="C91" s="218">
        <f t="shared" si="14"/>
        <v>766248.10583064612</v>
      </c>
      <c r="D91" s="218">
        <f t="shared" si="9"/>
        <v>6221.0853634570531</v>
      </c>
      <c r="E91" s="219">
        <f t="shared" si="10"/>
        <v>0</v>
      </c>
      <c r="F91" s="218">
        <f t="shared" si="11"/>
        <v>6221.0853634570531</v>
      </c>
      <c r="G91" s="218">
        <f t="shared" si="12"/>
        <v>3283.8009577729094</v>
      </c>
      <c r="H91" s="218">
        <f t="shared" si="15"/>
        <v>2937.2844056841436</v>
      </c>
      <c r="I91" s="218">
        <f t="shared" si="13"/>
        <v>762964.30487287324</v>
      </c>
      <c r="J91" s="218">
        <f>SUM($H$18:$H91)</f>
        <v>248324.62176869551</v>
      </c>
    </row>
    <row r="92" spans="1:10" x14ac:dyDescent="0.2">
      <c r="A92" s="221">
        <f>IF(Values_Entered,A91+1,"")</f>
        <v>75</v>
      </c>
      <c r="B92" s="220">
        <f t="shared" si="8"/>
        <v>45798</v>
      </c>
      <c r="C92" s="218">
        <f t="shared" si="14"/>
        <v>762964.30487287324</v>
      </c>
      <c r="D92" s="218">
        <f t="shared" si="9"/>
        <v>6221.0853634570531</v>
      </c>
      <c r="E92" s="219">
        <f t="shared" si="10"/>
        <v>0</v>
      </c>
      <c r="F92" s="218">
        <f t="shared" si="11"/>
        <v>6221.0853634570531</v>
      </c>
      <c r="G92" s="218">
        <f t="shared" si="12"/>
        <v>3296.3888614443722</v>
      </c>
      <c r="H92" s="218">
        <f t="shared" si="15"/>
        <v>2924.6965020126809</v>
      </c>
      <c r="I92" s="218">
        <f t="shared" si="13"/>
        <v>759667.91601142881</v>
      </c>
      <c r="J92" s="218">
        <f>SUM($H$18:$H92)</f>
        <v>251249.3182707082</v>
      </c>
    </row>
    <row r="93" spans="1:10" x14ac:dyDescent="0.2">
      <c r="A93" s="221">
        <f>IF(Values_Entered,A92+1,"")</f>
        <v>76</v>
      </c>
      <c r="B93" s="220">
        <f t="shared" si="8"/>
        <v>45829</v>
      </c>
      <c r="C93" s="218">
        <f t="shared" si="14"/>
        <v>759667.91601142881</v>
      </c>
      <c r="D93" s="218">
        <f t="shared" si="9"/>
        <v>6221.0853634570531</v>
      </c>
      <c r="E93" s="219">
        <f t="shared" si="10"/>
        <v>0</v>
      </c>
      <c r="F93" s="218">
        <f t="shared" si="11"/>
        <v>6221.0853634570531</v>
      </c>
      <c r="G93" s="218">
        <f t="shared" si="12"/>
        <v>3309.0250187465763</v>
      </c>
      <c r="H93" s="218">
        <f t="shared" si="15"/>
        <v>2912.0603447104768</v>
      </c>
      <c r="I93" s="218">
        <f t="shared" si="13"/>
        <v>756358.89099268219</v>
      </c>
      <c r="J93" s="218">
        <f>SUM($H$18:$H93)</f>
        <v>254161.37861541868</v>
      </c>
    </row>
    <row r="94" spans="1:10" x14ac:dyDescent="0.2">
      <c r="A94" s="221">
        <f>IF(Values_Entered,A93+1,"")</f>
        <v>77</v>
      </c>
      <c r="B94" s="220">
        <f t="shared" si="8"/>
        <v>45859</v>
      </c>
      <c r="C94" s="218">
        <f t="shared" si="14"/>
        <v>756358.89099268219</v>
      </c>
      <c r="D94" s="218">
        <f t="shared" si="9"/>
        <v>6221.0853634570531</v>
      </c>
      <c r="E94" s="219">
        <f t="shared" si="10"/>
        <v>0</v>
      </c>
      <c r="F94" s="218">
        <f t="shared" si="11"/>
        <v>6221.0853634570531</v>
      </c>
      <c r="G94" s="218">
        <f t="shared" si="12"/>
        <v>3321.7096146517715</v>
      </c>
      <c r="H94" s="218">
        <f t="shared" si="15"/>
        <v>2899.3757488052815</v>
      </c>
      <c r="I94" s="218">
        <f t="shared" si="13"/>
        <v>753037.18137803045</v>
      </c>
      <c r="J94" s="218">
        <f>SUM($H$18:$H94)</f>
        <v>257060.75436422398</v>
      </c>
    </row>
    <row r="95" spans="1:10" x14ac:dyDescent="0.2">
      <c r="A95" s="221">
        <f>IF(Values_Entered,A94+1,"")</f>
        <v>78</v>
      </c>
      <c r="B95" s="220">
        <f t="shared" si="8"/>
        <v>45890</v>
      </c>
      <c r="C95" s="218">
        <f t="shared" si="14"/>
        <v>753037.18137803045</v>
      </c>
      <c r="D95" s="218">
        <f t="shared" si="9"/>
        <v>6221.0853634570531</v>
      </c>
      <c r="E95" s="219">
        <f t="shared" si="10"/>
        <v>0</v>
      </c>
      <c r="F95" s="218">
        <f t="shared" si="11"/>
        <v>6221.0853634570531</v>
      </c>
      <c r="G95" s="218">
        <f t="shared" si="12"/>
        <v>3334.4428348412698</v>
      </c>
      <c r="H95" s="218">
        <f t="shared" si="15"/>
        <v>2886.6425286157832</v>
      </c>
      <c r="I95" s="218">
        <f t="shared" si="13"/>
        <v>749702.73854318913</v>
      </c>
      <c r="J95" s="218">
        <f>SUM($H$18:$H95)</f>
        <v>259947.39689283975</v>
      </c>
    </row>
    <row r="96" spans="1:10" x14ac:dyDescent="0.2">
      <c r="A96" s="221">
        <f>IF(Values_Entered,A95+1,"")</f>
        <v>79</v>
      </c>
      <c r="B96" s="220">
        <f t="shared" si="8"/>
        <v>45921</v>
      </c>
      <c r="C96" s="218">
        <f t="shared" si="14"/>
        <v>749702.73854318913</v>
      </c>
      <c r="D96" s="218">
        <f t="shared" si="9"/>
        <v>6221.0853634570531</v>
      </c>
      <c r="E96" s="219">
        <f t="shared" si="10"/>
        <v>0</v>
      </c>
      <c r="F96" s="218">
        <f t="shared" si="11"/>
        <v>6221.0853634570531</v>
      </c>
      <c r="G96" s="218">
        <f t="shared" si="12"/>
        <v>3347.2248657081614</v>
      </c>
      <c r="H96" s="218">
        <f t="shared" si="15"/>
        <v>2873.8604977488917</v>
      </c>
      <c r="I96" s="218">
        <f t="shared" si="13"/>
        <v>746355.51367748098</v>
      </c>
      <c r="J96" s="218">
        <f>SUM($H$18:$H96)</f>
        <v>262821.25739058864</v>
      </c>
    </row>
    <row r="97" spans="1:10" x14ac:dyDescent="0.2">
      <c r="A97" s="221">
        <f>IF(Values_Entered,A96+1,"")</f>
        <v>80</v>
      </c>
      <c r="B97" s="220">
        <f t="shared" si="8"/>
        <v>45951</v>
      </c>
      <c r="C97" s="218">
        <f t="shared" si="14"/>
        <v>746355.51367748098</v>
      </c>
      <c r="D97" s="218">
        <f t="shared" si="9"/>
        <v>6221.0853634570531</v>
      </c>
      <c r="E97" s="219">
        <f t="shared" si="10"/>
        <v>0</v>
      </c>
      <c r="F97" s="218">
        <f t="shared" si="11"/>
        <v>6221.0853634570531</v>
      </c>
      <c r="G97" s="218">
        <f t="shared" si="12"/>
        <v>3360.0558943600431</v>
      </c>
      <c r="H97" s="218">
        <f t="shared" si="15"/>
        <v>2861.02946909701</v>
      </c>
      <c r="I97" s="218">
        <f t="shared" si="13"/>
        <v>742995.45778312092</v>
      </c>
      <c r="J97" s="218">
        <f>SUM($H$18:$H97)</f>
        <v>265682.28685968567</v>
      </c>
    </row>
    <row r="98" spans="1:10" x14ac:dyDescent="0.2">
      <c r="A98" s="221">
        <f>IF(Values_Entered,A97+1,"")</f>
        <v>81</v>
      </c>
      <c r="B98" s="220">
        <f t="shared" si="8"/>
        <v>45982</v>
      </c>
      <c r="C98" s="218">
        <f t="shared" si="14"/>
        <v>742995.45778312092</v>
      </c>
      <c r="D98" s="218">
        <f t="shared" si="9"/>
        <v>6221.0853634570531</v>
      </c>
      <c r="E98" s="219">
        <f t="shared" si="10"/>
        <v>0</v>
      </c>
      <c r="F98" s="218">
        <f t="shared" si="11"/>
        <v>6221.0853634570531</v>
      </c>
      <c r="G98" s="218">
        <f t="shared" si="12"/>
        <v>3372.9361086217564</v>
      </c>
      <c r="H98" s="218">
        <f t="shared" si="15"/>
        <v>2848.1492548352967</v>
      </c>
      <c r="I98" s="218">
        <f t="shared" si="13"/>
        <v>739622.52167449915</v>
      </c>
      <c r="J98" s="218">
        <f>SUM($H$18:$H98)</f>
        <v>268530.43611452094</v>
      </c>
    </row>
    <row r="99" spans="1:10" x14ac:dyDescent="0.2">
      <c r="A99" s="221">
        <f>IF(Values_Entered,A98+1,"")</f>
        <v>82</v>
      </c>
      <c r="B99" s="220">
        <f t="shared" si="8"/>
        <v>46012</v>
      </c>
      <c r="C99" s="218">
        <f t="shared" si="14"/>
        <v>739622.52167449915</v>
      </c>
      <c r="D99" s="218">
        <f t="shared" si="9"/>
        <v>6221.0853634570531</v>
      </c>
      <c r="E99" s="219">
        <f t="shared" si="10"/>
        <v>0</v>
      </c>
      <c r="F99" s="218">
        <f t="shared" si="11"/>
        <v>6221.0853634570531</v>
      </c>
      <c r="G99" s="218">
        <f t="shared" si="12"/>
        <v>3385.8656970381394</v>
      </c>
      <c r="H99" s="218">
        <f t="shared" si="15"/>
        <v>2835.2196664189137</v>
      </c>
      <c r="I99" s="218">
        <f t="shared" si="13"/>
        <v>736236.65597746102</v>
      </c>
      <c r="J99" s="218">
        <f>SUM($H$18:$H99)</f>
        <v>271365.65578093985</v>
      </c>
    </row>
    <row r="100" spans="1:10" x14ac:dyDescent="0.2">
      <c r="A100" s="221">
        <f>IF(Values_Entered,A99+1,"")</f>
        <v>83</v>
      </c>
      <c r="B100" s="220">
        <f t="shared" si="8"/>
        <v>46043</v>
      </c>
      <c r="C100" s="218">
        <f t="shared" si="14"/>
        <v>736236.65597746102</v>
      </c>
      <c r="D100" s="218">
        <f t="shared" si="9"/>
        <v>6221.0853634570531</v>
      </c>
      <c r="E100" s="219">
        <f t="shared" si="10"/>
        <v>0</v>
      </c>
      <c r="F100" s="218">
        <f t="shared" si="11"/>
        <v>6221.0853634570531</v>
      </c>
      <c r="G100" s="218">
        <f t="shared" si="12"/>
        <v>3398.8448488767858</v>
      </c>
      <c r="H100" s="218">
        <f t="shared" si="15"/>
        <v>2822.2405145802672</v>
      </c>
      <c r="I100" s="218">
        <f t="shared" si="13"/>
        <v>732837.8111285842</v>
      </c>
      <c r="J100" s="218">
        <f>SUM($H$18:$H100)</f>
        <v>274187.89629552013</v>
      </c>
    </row>
    <row r="101" spans="1:10" x14ac:dyDescent="0.2">
      <c r="A101" s="221">
        <f>IF(Values_Entered,A100+1,"")</f>
        <v>84</v>
      </c>
      <c r="B101" s="220">
        <f t="shared" si="8"/>
        <v>46074</v>
      </c>
      <c r="C101" s="218">
        <f t="shared" si="14"/>
        <v>732837.8111285842</v>
      </c>
      <c r="D101" s="218">
        <f t="shared" si="9"/>
        <v>6221.0853634570531</v>
      </c>
      <c r="E101" s="219">
        <f t="shared" si="10"/>
        <v>0</v>
      </c>
      <c r="F101" s="218">
        <f t="shared" si="11"/>
        <v>6221.0853634570531</v>
      </c>
      <c r="G101" s="218">
        <f t="shared" si="12"/>
        <v>3411.8737541308137</v>
      </c>
      <c r="H101" s="218">
        <f t="shared" si="15"/>
        <v>2809.2116093262393</v>
      </c>
      <c r="I101" s="218">
        <f t="shared" si="13"/>
        <v>729425.93737445341</v>
      </c>
      <c r="J101" s="218">
        <f>SUM($H$18:$H101)</f>
        <v>276997.10790484637</v>
      </c>
    </row>
    <row r="102" spans="1:10" x14ac:dyDescent="0.2">
      <c r="A102" s="221">
        <f>IF(Values_Entered,A101+1,"")</f>
        <v>85</v>
      </c>
      <c r="B102" s="220">
        <f t="shared" si="8"/>
        <v>46102</v>
      </c>
      <c r="C102" s="218">
        <f t="shared" si="14"/>
        <v>729425.93737445341</v>
      </c>
      <c r="D102" s="218">
        <f t="shared" si="9"/>
        <v>6221.0853634570531</v>
      </c>
      <c r="E102" s="219">
        <f t="shared" si="10"/>
        <v>0</v>
      </c>
      <c r="F102" s="218">
        <f t="shared" si="11"/>
        <v>6221.0853634570531</v>
      </c>
      <c r="G102" s="218">
        <f t="shared" si="12"/>
        <v>3424.9526035216486</v>
      </c>
      <c r="H102" s="218">
        <f t="shared" si="15"/>
        <v>2796.1327599354045</v>
      </c>
      <c r="I102" s="218">
        <f t="shared" si="13"/>
        <v>726000.98477093177</v>
      </c>
      <c r="J102" s="218">
        <f>SUM($H$18:$H102)</f>
        <v>279793.24066478177</v>
      </c>
    </row>
    <row r="103" spans="1:10" x14ac:dyDescent="0.2">
      <c r="A103" s="221">
        <f>IF(Values_Entered,A102+1,"")</f>
        <v>86</v>
      </c>
      <c r="B103" s="220">
        <f t="shared" si="8"/>
        <v>46133</v>
      </c>
      <c r="C103" s="218">
        <f t="shared" si="14"/>
        <v>726000.98477093177</v>
      </c>
      <c r="D103" s="218">
        <f t="shared" si="9"/>
        <v>6221.0853634570531</v>
      </c>
      <c r="E103" s="219">
        <f t="shared" si="10"/>
        <v>0</v>
      </c>
      <c r="F103" s="218">
        <f t="shared" si="11"/>
        <v>6221.0853634570531</v>
      </c>
      <c r="G103" s="218">
        <f t="shared" si="12"/>
        <v>3438.0815885018151</v>
      </c>
      <c r="H103" s="218">
        <f t="shared" si="15"/>
        <v>2783.003774955238</v>
      </c>
      <c r="I103" s="218">
        <f t="shared" si="13"/>
        <v>722562.90318242996</v>
      </c>
      <c r="J103" s="218">
        <f>SUM($H$18:$H103)</f>
        <v>282576.244439737</v>
      </c>
    </row>
    <row r="104" spans="1:10" x14ac:dyDescent="0.2">
      <c r="A104" s="221">
        <f>IF(Values_Entered,A103+1,"")</f>
        <v>87</v>
      </c>
      <c r="B104" s="220">
        <f t="shared" si="8"/>
        <v>46163</v>
      </c>
      <c r="C104" s="218">
        <f t="shared" si="14"/>
        <v>722562.90318242996</v>
      </c>
      <c r="D104" s="218">
        <f t="shared" si="9"/>
        <v>6221.0853634570531</v>
      </c>
      <c r="E104" s="219">
        <f t="shared" si="10"/>
        <v>0</v>
      </c>
      <c r="F104" s="218">
        <f t="shared" si="11"/>
        <v>6221.0853634570531</v>
      </c>
      <c r="G104" s="218">
        <f t="shared" si="12"/>
        <v>3451.2609012577382</v>
      </c>
      <c r="H104" s="218">
        <f t="shared" si="15"/>
        <v>2769.8244621993149</v>
      </c>
      <c r="I104" s="218">
        <f t="shared" si="13"/>
        <v>719111.64228117222</v>
      </c>
      <c r="J104" s="218">
        <f>SUM($H$18:$H104)</f>
        <v>285346.06890193629</v>
      </c>
    </row>
    <row r="105" spans="1:10" x14ac:dyDescent="0.2">
      <c r="A105" s="221">
        <f>IF(Values_Entered,A104+1,"")</f>
        <v>88</v>
      </c>
      <c r="B105" s="220">
        <f t="shared" si="8"/>
        <v>46194</v>
      </c>
      <c r="C105" s="218">
        <f t="shared" si="14"/>
        <v>719111.64228117222</v>
      </c>
      <c r="D105" s="218">
        <f t="shared" si="9"/>
        <v>6221.0853634570531</v>
      </c>
      <c r="E105" s="219">
        <f t="shared" si="10"/>
        <v>0</v>
      </c>
      <c r="F105" s="218">
        <f t="shared" si="11"/>
        <v>6221.0853634570531</v>
      </c>
      <c r="G105" s="218">
        <f t="shared" si="12"/>
        <v>3464.4907347125595</v>
      </c>
      <c r="H105" s="218">
        <f t="shared" si="15"/>
        <v>2756.5946287444935</v>
      </c>
      <c r="I105" s="218">
        <f t="shared" si="13"/>
        <v>715647.15154645965</v>
      </c>
      <c r="J105" s="218">
        <f>SUM($H$18:$H105)</f>
        <v>288102.66353068076</v>
      </c>
    </row>
    <row r="106" spans="1:10" x14ac:dyDescent="0.2">
      <c r="A106" s="221">
        <f>IF(Values_Entered,A105+1,"")</f>
        <v>89</v>
      </c>
      <c r="B106" s="220">
        <f t="shared" si="8"/>
        <v>46224</v>
      </c>
      <c r="C106" s="218">
        <f t="shared" si="14"/>
        <v>715647.15154645965</v>
      </c>
      <c r="D106" s="218">
        <f t="shared" si="9"/>
        <v>6221.0853634570531</v>
      </c>
      <c r="E106" s="219">
        <f t="shared" si="10"/>
        <v>0</v>
      </c>
      <c r="F106" s="218">
        <f t="shared" si="11"/>
        <v>6221.0853634570531</v>
      </c>
      <c r="G106" s="218">
        <f t="shared" si="12"/>
        <v>3477.7712825289577</v>
      </c>
      <c r="H106" s="218">
        <f t="shared" si="15"/>
        <v>2743.3140809280953</v>
      </c>
      <c r="I106" s="218">
        <f t="shared" si="13"/>
        <v>712169.38026393065</v>
      </c>
      <c r="J106" s="218">
        <f>SUM($H$18:$H106)</f>
        <v>290845.97761160886</v>
      </c>
    </row>
    <row r="107" spans="1:10" x14ac:dyDescent="0.2">
      <c r="A107" s="221">
        <f>IF(Values_Entered,A106+1,"")</f>
        <v>90</v>
      </c>
      <c r="B107" s="220">
        <f t="shared" si="8"/>
        <v>46255</v>
      </c>
      <c r="C107" s="218">
        <f t="shared" si="14"/>
        <v>712169.38026393065</v>
      </c>
      <c r="D107" s="218">
        <f t="shared" si="9"/>
        <v>6221.0853634570531</v>
      </c>
      <c r="E107" s="219">
        <f t="shared" si="10"/>
        <v>0</v>
      </c>
      <c r="F107" s="218">
        <f t="shared" si="11"/>
        <v>6221.0853634570531</v>
      </c>
      <c r="G107" s="218">
        <f t="shared" si="12"/>
        <v>3491.1027391119856</v>
      </c>
      <c r="H107" s="218">
        <f t="shared" si="15"/>
        <v>2729.9826243450675</v>
      </c>
      <c r="I107" s="218">
        <f t="shared" si="13"/>
        <v>708678.27752481867</v>
      </c>
      <c r="J107" s="218">
        <f>SUM($H$18:$H107)</f>
        <v>293575.96023595391</v>
      </c>
    </row>
    <row r="108" spans="1:10" x14ac:dyDescent="0.2">
      <c r="A108" s="221">
        <f>IF(Values_Entered,A107+1,"")</f>
        <v>91</v>
      </c>
      <c r="B108" s="220">
        <f t="shared" si="8"/>
        <v>46286</v>
      </c>
      <c r="C108" s="218">
        <f t="shared" si="14"/>
        <v>708678.27752481867</v>
      </c>
      <c r="D108" s="218">
        <f t="shared" si="9"/>
        <v>6221.0853634570531</v>
      </c>
      <c r="E108" s="219">
        <f t="shared" si="10"/>
        <v>0</v>
      </c>
      <c r="F108" s="218">
        <f t="shared" si="11"/>
        <v>6221.0853634570531</v>
      </c>
      <c r="G108" s="218">
        <f t="shared" si="12"/>
        <v>3504.4852996119148</v>
      </c>
      <c r="H108" s="218">
        <f t="shared" si="15"/>
        <v>2716.6000638451383</v>
      </c>
      <c r="I108" s="218">
        <f t="shared" si="13"/>
        <v>705173.79222520674</v>
      </c>
      <c r="J108" s="218">
        <f>SUM($H$18:$H108)</f>
        <v>296292.56029979908</v>
      </c>
    </row>
    <row r="109" spans="1:10" x14ac:dyDescent="0.2">
      <c r="A109" s="221">
        <f>IF(Values_Entered,A108+1,"")</f>
        <v>92</v>
      </c>
      <c r="B109" s="220">
        <f t="shared" si="8"/>
        <v>46316</v>
      </c>
      <c r="C109" s="218">
        <f t="shared" si="14"/>
        <v>705173.79222520674</v>
      </c>
      <c r="D109" s="218">
        <f t="shared" si="9"/>
        <v>6221.0853634570531</v>
      </c>
      <c r="E109" s="219">
        <f t="shared" si="10"/>
        <v>0</v>
      </c>
      <c r="F109" s="218">
        <f t="shared" si="11"/>
        <v>6221.0853634570531</v>
      </c>
      <c r="G109" s="218">
        <f t="shared" si="12"/>
        <v>3517.9191599270939</v>
      </c>
      <c r="H109" s="218">
        <f t="shared" si="15"/>
        <v>2703.1662035299591</v>
      </c>
      <c r="I109" s="218">
        <f t="shared" si="13"/>
        <v>701655.87306527968</v>
      </c>
      <c r="J109" s="218">
        <f>SUM($H$18:$H109)</f>
        <v>298995.72650332906</v>
      </c>
    </row>
    <row r="110" spans="1:10" x14ac:dyDescent="0.2">
      <c r="A110" s="221">
        <f>IF(Values_Entered,A109+1,"")</f>
        <v>93</v>
      </c>
      <c r="B110" s="220">
        <f t="shared" si="8"/>
        <v>46347</v>
      </c>
      <c r="C110" s="218">
        <f t="shared" si="14"/>
        <v>701655.87306527968</v>
      </c>
      <c r="D110" s="218">
        <f t="shared" si="9"/>
        <v>6221.0853634570531</v>
      </c>
      <c r="E110" s="219">
        <f t="shared" si="10"/>
        <v>0</v>
      </c>
      <c r="F110" s="218">
        <f t="shared" si="11"/>
        <v>6221.0853634570531</v>
      </c>
      <c r="G110" s="218">
        <f t="shared" si="12"/>
        <v>3531.4045167068143</v>
      </c>
      <c r="H110" s="218">
        <f t="shared" si="15"/>
        <v>2689.6808467502387</v>
      </c>
      <c r="I110" s="218">
        <f t="shared" si="13"/>
        <v>698124.46854857286</v>
      </c>
      <c r="J110" s="218">
        <f>SUM($H$18:$H110)</f>
        <v>301685.40735007927</v>
      </c>
    </row>
    <row r="111" spans="1:10" x14ac:dyDescent="0.2">
      <c r="A111" s="221">
        <f>IF(Values_Entered,A110+1,"")</f>
        <v>94</v>
      </c>
      <c r="B111" s="220">
        <f t="shared" si="8"/>
        <v>46377</v>
      </c>
      <c r="C111" s="218">
        <f t="shared" si="14"/>
        <v>698124.46854857286</v>
      </c>
      <c r="D111" s="218">
        <f t="shared" si="9"/>
        <v>6221.0853634570531</v>
      </c>
      <c r="E111" s="219">
        <f t="shared" si="10"/>
        <v>0</v>
      </c>
      <c r="F111" s="218">
        <f t="shared" si="11"/>
        <v>6221.0853634570531</v>
      </c>
      <c r="G111" s="218">
        <f t="shared" si="12"/>
        <v>3544.9415673541903</v>
      </c>
      <c r="H111" s="218">
        <f t="shared" si="15"/>
        <v>2676.1437961028628</v>
      </c>
      <c r="I111" s="218">
        <f t="shared" si="13"/>
        <v>694579.52698121872</v>
      </c>
      <c r="J111" s="218">
        <f>SUM($H$18:$H111)</f>
        <v>304361.55114618212</v>
      </c>
    </row>
    <row r="112" spans="1:10" x14ac:dyDescent="0.2">
      <c r="A112" s="221">
        <f>IF(Values_Entered,A111+1,"")</f>
        <v>95</v>
      </c>
      <c r="B112" s="220">
        <f t="shared" si="8"/>
        <v>46408</v>
      </c>
      <c r="C112" s="218">
        <f t="shared" si="14"/>
        <v>694579.52698121872</v>
      </c>
      <c r="D112" s="218">
        <f t="shared" si="9"/>
        <v>6221.0853634570531</v>
      </c>
      <c r="E112" s="219">
        <f t="shared" si="10"/>
        <v>0</v>
      </c>
      <c r="F112" s="218">
        <f t="shared" si="11"/>
        <v>6221.0853634570531</v>
      </c>
      <c r="G112" s="218">
        <f t="shared" si="12"/>
        <v>3558.5305100290479</v>
      </c>
      <c r="H112" s="218">
        <f t="shared" si="15"/>
        <v>2662.5548534280051</v>
      </c>
      <c r="I112" s="218">
        <f t="shared" si="13"/>
        <v>691020.99647118966</v>
      </c>
      <c r="J112" s="218">
        <f>SUM($H$18:$H112)</f>
        <v>307024.1059996101</v>
      </c>
    </row>
    <row r="113" spans="1:10" x14ac:dyDescent="0.2">
      <c r="A113" s="221">
        <f>IF(Values_Entered,A112+1,"")</f>
        <v>96</v>
      </c>
      <c r="B113" s="220">
        <f t="shared" si="8"/>
        <v>46439</v>
      </c>
      <c r="C113" s="218">
        <f t="shared" si="14"/>
        <v>691020.99647118966</v>
      </c>
      <c r="D113" s="218">
        <f t="shared" si="9"/>
        <v>6221.0853634570531</v>
      </c>
      <c r="E113" s="219">
        <f t="shared" si="10"/>
        <v>0</v>
      </c>
      <c r="F113" s="218">
        <f t="shared" si="11"/>
        <v>6221.0853634570531</v>
      </c>
      <c r="G113" s="218">
        <f t="shared" si="12"/>
        <v>3572.1715436508262</v>
      </c>
      <c r="H113" s="218">
        <f t="shared" si="15"/>
        <v>2648.9138198062269</v>
      </c>
      <c r="I113" s="218">
        <f t="shared" si="13"/>
        <v>687448.82492753887</v>
      </c>
      <c r="J113" s="218">
        <f>SUM($H$18:$H113)</f>
        <v>309673.01981941634</v>
      </c>
    </row>
    <row r="114" spans="1:10" x14ac:dyDescent="0.2">
      <c r="A114" s="221">
        <f>IF(Values_Entered,A113+1,"")</f>
        <v>97</v>
      </c>
      <c r="B114" s="220">
        <f t="shared" si="8"/>
        <v>46467</v>
      </c>
      <c r="C114" s="218">
        <f t="shared" si="14"/>
        <v>687448.82492753887</v>
      </c>
      <c r="D114" s="218">
        <f t="shared" si="9"/>
        <v>6221.0853634570531</v>
      </c>
      <c r="E114" s="219">
        <f t="shared" si="10"/>
        <v>0</v>
      </c>
      <c r="F114" s="218">
        <f t="shared" si="11"/>
        <v>6221.0853634570531</v>
      </c>
      <c r="G114" s="218">
        <f t="shared" si="12"/>
        <v>3585.8648679014873</v>
      </c>
      <c r="H114" s="218">
        <f t="shared" si="15"/>
        <v>2635.2204955555658</v>
      </c>
      <c r="I114" s="218">
        <f t="shared" si="13"/>
        <v>683862.96005963744</v>
      </c>
      <c r="J114" s="218">
        <f>SUM($H$18:$H114)</f>
        <v>312308.24031497189</v>
      </c>
    </row>
    <row r="115" spans="1:10" x14ac:dyDescent="0.2">
      <c r="A115" s="221">
        <f>IF(Values_Entered,A114+1,"")</f>
        <v>98</v>
      </c>
      <c r="B115" s="220">
        <f t="shared" si="8"/>
        <v>46498</v>
      </c>
      <c r="C115" s="218">
        <f t="shared" si="14"/>
        <v>683862.96005963744</v>
      </c>
      <c r="D115" s="218">
        <f t="shared" si="9"/>
        <v>6221.0853634570531</v>
      </c>
      <c r="E115" s="219">
        <f t="shared" si="10"/>
        <v>0</v>
      </c>
      <c r="F115" s="218">
        <f t="shared" si="11"/>
        <v>6221.0853634570531</v>
      </c>
      <c r="G115" s="218">
        <f t="shared" si="12"/>
        <v>3599.6106832284427</v>
      </c>
      <c r="H115" s="218">
        <f t="shared" si="15"/>
        <v>2621.4746802286104</v>
      </c>
      <c r="I115" s="218">
        <f t="shared" si="13"/>
        <v>680263.34937640897</v>
      </c>
      <c r="J115" s="218">
        <f>SUM($H$18:$H115)</f>
        <v>314929.71499520051</v>
      </c>
    </row>
    <row r="116" spans="1:10" x14ac:dyDescent="0.2">
      <c r="A116" s="221">
        <f>IF(Values_Entered,A115+1,"")</f>
        <v>99</v>
      </c>
      <c r="B116" s="220">
        <f t="shared" si="8"/>
        <v>46528</v>
      </c>
      <c r="C116" s="218">
        <f t="shared" si="14"/>
        <v>680263.34937640897</v>
      </c>
      <c r="D116" s="218">
        <f t="shared" si="9"/>
        <v>6221.0853634570531</v>
      </c>
      <c r="E116" s="219">
        <f t="shared" si="10"/>
        <v>0</v>
      </c>
      <c r="F116" s="218">
        <f t="shared" si="11"/>
        <v>6221.0853634570531</v>
      </c>
      <c r="G116" s="218">
        <f t="shared" si="12"/>
        <v>3613.4091908474852</v>
      </c>
      <c r="H116" s="218">
        <f t="shared" si="15"/>
        <v>2607.6761726095679</v>
      </c>
      <c r="I116" s="218">
        <f t="shared" si="13"/>
        <v>676649.94018556143</v>
      </c>
      <c r="J116" s="218">
        <f>SUM($H$18:$H116)</f>
        <v>317537.39116781007</v>
      </c>
    </row>
    <row r="117" spans="1:10" x14ac:dyDescent="0.2">
      <c r="A117" s="221">
        <f>IF(Values_Entered,A116+1,"")</f>
        <v>100</v>
      </c>
      <c r="B117" s="220">
        <f t="shared" si="8"/>
        <v>46559</v>
      </c>
      <c r="C117" s="218">
        <f t="shared" si="14"/>
        <v>676649.94018556143</v>
      </c>
      <c r="D117" s="218">
        <f t="shared" si="9"/>
        <v>6221.0853634570531</v>
      </c>
      <c r="E117" s="219">
        <f t="shared" si="10"/>
        <v>0</v>
      </c>
      <c r="F117" s="218">
        <f t="shared" si="11"/>
        <v>6221.0853634570531</v>
      </c>
      <c r="G117" s="218">
        <f t="shared" si="12"/>
        <v>3627.2605927457344</v>
      </c>
      <c r="H117" s="218">
        <f t="shared" si="15"/>
        <v>2593.8247707113187</v>
      </c>
      <c r="I117" s="218">
        <f t="shared" si="13"/>
        <v>673022.67959281569</v>
      </c>
      <c r="J117" s="218">
        <f>SUM($H$18:$H117)</f>
        <v>320131.21593852137</v>
      </c>
    </row>
    <row r="118" spans="1:10" x14ac:dyDescent="0.2">
      <c r="A118" s="221">
        <f>IF(Values_Entered,A117+1,"")</f>
        <v>101</v>
      </c>
      <c r="B118" s="220">
        <f t="shared" si="8"/>
        <v>46589</v>
      </c>
      <c r="C118" s="218">
        <f t="shared" si="14"/>
        <v>673022.67959281569</v>
      </c>
      <c r="D118" s="218">
        <f t="shared" si="9"/>
        <v>6221.0853634570531</v>
      </c>
      <c r="E118" s="219">
        <f t="shared" si="10"/>
        <v>0</v>
      </c>
      <c r="F118" s="218">
        <f t="shared" si="11"/>
        <v>6221.0853634570531</v>
      </c>
      <c r="G118" s="218">
        <f t="shared" si="12"/>
        <v>3641.1650916845929</v>
      </c>
      <c r="H118" s="218">
        <f t="shared" si="15"/>
        <v>2579.9202717724602</v>
      </c>
      <c r="I118" s="218">
        <f t="shared" si="13"/>
        <v>669381.51450113114</v>
      </c>
      <c r="J118" s="218">
        <f>SUM($H$18:$H118)</f>
        <v>322711.13621029386</v>
      </c>
    </row>
    <row r="119" spans="1:10" x14ac:dyDescent="0.2">
      <c r="A119" s="221">
        <f>IF(Values_Entered,A118+1,"")</f>
        <v>102</v>
      </c>
      <c r="B119" s="220">
        <f t="shared" si="8"/>
        <v>46620</v>
      </c>
      <c r="C119" s="218">
        <f t="shared" si="14"/>
        <v>669381.51450113114</v>
      </c>
      <c r="D119" s="218">
        <f t="shared" si="9"/>
        <v>6221.0853634570531</v>
      </c>
      <c r="E119" s="219">
        <f t="shared" si="10"/>
        <v>0</v>
      </c>
      <c r="F119" s="218">
        <f t="shared" si="11"/>
        <v>6221.0853634570531</v>
      </c>
      <c r="G119" s="218">
        <f t="shared" si="12"/>
        <v>3655.1228912027168</v>
      </c>
      <c r="H119" s="218">
        <f t="shared" si="15"/>
        <v>2565.9624722543363</v>
      </c>
      <c r="I119" s="218">
        <f t="shared" si="13"/>
        <v>665726.39160992845</v>
      </c>
      <c r="J119" s="218">
        <f>SUM($H$18:$H119)</f>
        <v>325277.09868254821</v>
      </c>
    </row>
    <row r="120" spans="1:10" x14ac:dyDescent="0.2">
      <c r="A120" s="221">
        <f>IF(Values_Entered,A119+1,"")</f>
        <v>103</v>
      </c>
      <c r="B120" s="220">
        <f t="shared" si="8"/>
        <v>46651</v>
      </c>
      <c r="C120" s="218">
        <f t="shared" si="14"/>
        <v>665726.39160992845</v>
      </c>
      <c r="D120" s="218">
        <f t="shared" si="9"/>
        <v>6221.0853634570531</v>
      </c>
      <c r="E120" s="219">
        <f t="shared" si="10"/>
        <v>0</v>
      </c>
      <c r="F120" s="218">
        <f t="shared" si="11"/>
        <v>6221.0853634570531</v>
      </c>
      <c r="G120" s="218">
        <f t="shared" si="12"/>
        <v>3669.134195618994</v>
      </c>
      <c r="H120" s="218">
        <f t="shared" si="15"/>
        <v>2551.9511678380591</v>
      </c>
      <c r="I120" s="218">
        <f t="shared" si="13"/>
        <v>662057.25741430942</v>
      </c>
      <c r="J120" s="218">
        <f>SUM($H$18:$H120)</f>
        <v>327829.04985038628</v>
      </c>
    </row>
    <row r="121" spans="1:10" x14ac:dyDescent="0.2">
      <c r="A121" s="221">
        <f>IF(Values_Entered,A120+1,"")</f>
        <v>104</v>
      </c>
      <c r="B121" s="220">
        <f t="shared" si="8"/>
        <v>46681</v>
      </c>
      <c r="C121" s="218">
        <f t="shared" si="14"/>
        <v>662057.25741430942</v>
      </c>
      <c r="D121" s="218">
        <f t="shared" si="9"/>
        <v>6221.0853634570531</v>
      </c>
      <c r="E121" s="219">
        <f t="shared" si="10"/>
        <v>0</v>
      </c>
      <c r="F121" s="218">
        <f t="shared" si="11"/>
        <v>6221.0853634570531</v>
      </c>
      <c r="G121" s="218">
        <f t="shared" si="12"/>
        <v>3683.1992100355337</v>
      </c>
      <c r="H121" s="218">
        <f t="shared" si="15"/>
        <v>2537.8861534215193</v>
      </c>
      <c r="I121" s="218">
        <f t="shared" si="13"/>
        <v>658374.05820427393</v>
      </c>
      <c r="J121" s="218">
        <f>SUM($H$18:$H121)</f>
        <v>330366.93600380782</v>
      </c>
    </row>
    <row r="122" spans="1:10" x14ac:dyDescent="0.2">
      <c r="A122" s="221">
        <f>IF(Values_Entered,A121+1,"")</f>
        <v>105</v>
      </c>
      <c r="B122" s="220">
        <f t="shared" si="8"/>
        <v>46712</v>
      </c>
      <c r="C122" s="218">
        <f t="shared" si="14"/>
        <v>658374.05820427393</v>
      </c>
      <c r="D122" s="218">
        <f t="shared" si="9"/>
        <v>6221.0853634570531</v>
      </c>
      <c r="E122" s="219">
        <f t="shared" si="10"/>
        <v>0</v>
      </c>
      <c r="F122" s="218">
        <f t="shared" si="11"/>
        <v>6221.0853634570531</v>
      </c>
      <c r="G122" s="218">
        <f t="shared" si="12"/>
        <v>3697.3181403406697</v>
      </c>
      <c r="H122" s="218">
        <f t="shared" si="15"/>
        <v>2523.7672231163833</v>
      </c>
      <c r="I122" s="218">
        <f t="shared" si="13"/>
        <v>654676.74006393331</v>
      </c>
      <c r="J122" s="218">
        <f>SUM($H$18:$H122)</f>
        <v>332890.70322692418</v>
      </c>
    </row>
    <row r="123" spans="1:10" x14ac:dyDescent="0.2">
      <c r="A123" s="221">
        <f>IF(Values_Entered,A122+1,"")</f>
        <v>106</v>
      </c>
      <c r="B123" s="220">
        <f t="shared" si="8"/>
        <v>46742</v>
      </c>
      <c r="C123" s="218">
        <f t="shared" si="14"/>
        <v>654676.74006393331</v>
      </c>
      <c r="D123" s="218">
        <f t="shared" si="9"/>
        <v>6221.0853634570531</v>
      </c>
      <c r="E123" s="219">
        <f t="shared" si="10"/>
        <v>0</v>
      </c>
      <c r="F123" s="218">
        <f t="shared" si="11"/>
        <v>6221.0853634570531</v>
      </c>
      <c r="G123" s="218">
        <f t="shared" si="12"/>
        <v>3711.4911932119753</v>
      </c>
      <c r="H123" s="218">
        <f t="shared" si="15"/>
        <v>2509.5941702450777</v>
      </c>
      <c r="I123" s="218">
        <f t="shared" si="13"/>
        <v>650965.24887072132</v>
      </c>
      <c r="J123" s="218">
        <f>SUM($H$18:$H123)</f>
        <v>335400.29739716923</v>
      </c>
    </row>
    <row r="124" spans="1:10" x14ac:dyDescent="0.2">
      <c r="A124" s="221">
        <f>IF(Values_Entered,A123+1,"")</f>
        <v>107</v>
      </c>
      <c r="B124" s="220">
        <f t="shared" si="8"/>
        <v>46773</v>
      </c>
      <c r="C124" s="218">
        <f t="shared" si="14"/>
        <v>650965.24887072132</v>
      </c>
      <c r="D124" s="218">
        <f t="shared" si="9"/>
        <v>6221.0853634570531</v>
      </c>
      <c r="E124" s="219">
        <f t="shared" si="10"/>
        <v>0</v>
      </c>
      <c r="F124" s="218">
        <f t="shared" si="11"/>
        <v>6221.0853634570531</v>
      </c>
      <c r="G124" s="218">
        <f t="shared" si="12"/>
        <v>3725.7185761192882</v>
      </c>
      <c r="H124" s="218">
        <f t="shared" si="15"/>
        <v>2495.3667873377649</v>
      </c>
      <c r="I124" s="218">
        <f t="shared" si="13"/>
        <v>647239.53029460204</v>
      </c>
      <c r="J124" s="218">
        <f>SUM($H$18:$H124)</f>
        <v>337895.66418450698</v>
      </c>
    </row>
    <row r="125" spans="1:10" x14ac:dyDescent="0.2">
      <c r="A125" s="221">
        <f>IF(Values_Entered,A124+1,"")</f>
        <v>108</v>
      </c>
      <c r="B125" s="220">
        <f t="shared" si="8"/>
        <v>46804</v>
      </c>
      <c r="C125" s="218">
        <f t="shared" si="14"/>
        <v>647239.53029460204</v>
      </c>
      <c r="D125" s="218">
        <f t="shared" si="9"/>
        <v>6221.0853634570531</v>
      </c>
      <c r="E125" s="219">
        <f t="shared" si="10"/>
        <v>0</v>
      </c>
      <c r="F125" s="218">
        <f t="shared" si="11"/>
        <v>6221.0853634570531</v>
      </c>
      <c r="G125" s="218">
        <f t="shared" si="12"/>
        <v>3740.0004973277451</v>
      </c>
      <c r="H125" s="218">
        <f t="shared" si="15"/>
        <v>2481.084866129308</v>
      </c>
      <c r="I125" s="218">
        <f t="shared" si="13"/>
        <v>643499.52979727427</v>
      </c>
      <c r="J125" s="218">
        <f>SUM($H$18:$H125)</f>
        <v>340376.74905063631</v>
      </c>
    </row>
    <row r="126" spans="1:10" x14ac:dyDescent="0.2">
      <c r="A126" s="221">
        <f>IF(Values_Entered,A125+1,"")</f>
        <v>109</v>
      </c>
      <c r="B126" s="220">
        <f t="shared" si="8"/>
        <v>46833</v>
      </c>
      <c r="C126" s="218">
        <f t="shared" si="14"/>
        <v>643499.52979727427</v>
      </c>
      <c r="D126" s="218">
        <f t="shared" si="9"/>
        <v>6221.0853634570531</v>
      </c>
      <c r="E126" s="219">
        <f t="shared" si="10"/>
        <v>0</v>
      </c>
      <c r="F126" s="218">
        <f t="shared" si="11"/>
        <v>6221.0853634570531</v>
      </c>
      <c r="G126" s="218">
        <f t="shared" si="12"/>
        <v>3754.3371659008349</v>
      </c>
      <c r="H126" s="218">
        <f t="shared" si="15"/>
        <v>2466.7481975562182</v>
      </c>
      <c r="I126" s="218">
        <f t="shared" si="13"/>
        <v>639745.19263137341</v>
      </c>
      <c r="J126" s="218">
        <f>SUM($H$18:$H126)</f>
        <v>342843.49724819255</v>
      </c>
    </row>
    <row r="127" spans="1:10" x14ac:dyDescent="0.2">
      <c r="A127" s="221">
        <f>IF(Values_Entered,A126+1,"")</f>
        <v>110</v>
      </c>
      <c r="B127" s="220">
        <f t="shared" si="8"/>
        <v>46864</v>
      </c>
      <c r="C127" s="218">
        <f t="shared" si="14"/>
        <v>639745.19263137341</v>
      </c>
      <c r="D127" s="218">
        <f t="shared" si="9"/>
        <v>6221.0853634570531</v>
      </c>
      <c r="E127" s="219">
        <f t="shared" si="10"/>
        <v>0</v>
      </c>
      <c r="F127" s="218">
        <f t="shared" si="11"/>
        <v>6221.0853634570531</v>
      </c>
      <c r="G127" s="218">
        <f t="shared" si="12"/>
        <v>3768.728791703455</v>
      </c>
      <c r="H127" s="218">
        <f t="shared" si="15"/>
        <v>2452.356571753598</v>
      </c>
      <c r="I127" s="218">
        <f t="shared" si="13"/>
        <v>635976.46383966994</v>
      </c>
      <c r="J127" s="218">
        <f>SUM($H$18:$H127)</f>
        <v>345295.85381994618</v>
      </c>
    </row>
    <row r="128" spans="1:10" x14ac:dyDescent="0.2">
      <c r="A128" s="221">
        <f>IF(Values_Entered,A127+1,"")</f>
        <v>111</v>
      </c>
      <c r="B128" s="220">
        <f t="shared" si="8"/>
        <v>46894</v>
      </c>
      <c r="C128" s="218">
        <f t="shared" si="14"/>
        <v>635976.46383966994</v>
      </c>
      <c r="D128" s="218">
        <f t="shared" si="9"/>
        <v>6221.0853634570531</v>
      </c>
      <c r="E128" s="219">
        <f t="shared" si="10"/>
        <v>0</v>
      </c>
      <c r="F128" s="218">
        <f t="shared" si="11"/>
        <v>6221.0853634570531</v>
      </c>
      <c r="G128" s="218">
        <f t="shared" si="12"/>
        <v>3783.1755854049848</v>
      </c>
      <c r="H128" s="218">
        <f t="shared" si="15"/>
        <v>2437.9097780520683</v>
      </c>
      <c r="I128" s="218">
        <f t="shared" si="13"/>
        <v>632193.28825426497</v>
      </c>
      <c r="J128" s="218">
        <f>SUM($H$18:$H128)</f>
        <v>347733.76359799824</v>
      </c>
    </row>
    <row r="129" spans="1:10" x14ac:dyDescent="0.2">
      <c r="A129" s="221">
        <f>IF(Values_Entered,A128+1,"")</f>
        <v>112</v>
      </c>
      <c r="B129" s="220">
        <f t="shared" si="8"/>
        <v>46925</v>
      </c>
      <c r="C129" s="218">
        <f t="shared" si="14"/>
        <v>632193.28825426497</v>
      </c>
      <c r="D129" s="218">
        <f t="shared" si="9"/>
        <v>6221.0853634570531</v>
      </c>
      <c r="E129" s="219">
        <f t="shared" si="10"/>
        <v>0</v>
      </c>
      <c r="F129" s="218">
        <f t="shared" si="11"/>
        <v>6221.0853634570531</v>
      </c>
      <c r="G129" s="218">
        <f t="shared" si="12"/>
        <v>3797.6777584823708</v>
      </c>
      <c r="H129" s="218">
        <f t="shared" si="15"/>
        <v>2423.4076049746823</v>
      </c>
      <c r="I129" s="218">
        <f t="shared" si="13"/>
        <v>628395.61049578257</v>
      </c>
      <c r="J129" s="218">
        <f>SUM($H$18:$H129)</f>
        <v>350157.17120297294</v>
      </c>
    </row>
    <row r="130" spans="1:10" x14ac:dyDescent="0.2">
      <c r="A130" s="221">
        <f>IF(Values_Entered,A129+1,"")</f>
        <v>113</v>
      </c>
      <c r="B130" s="220">
        <f t="shared" si="8"/>
        <v>46955</v>
      </c>
      <c r="C130" s="218">
        <f t="shared" si="14"/>
        <v>628395.61049578257</v>
      </c>
      <c r="D130" s="218">
        <f t="shared" si="9"/>
        <v>6221.0853634570531</v>
      </c>
      <c r="E130" s="219">
        <f t="shared" si="10"/>
        <v>0</v>
      </c>
      <c r="F130" s="218">
        <f t="shared" si="11"/>
        <v>6221.0853634570531</v>
      </c>
      <c r="G130" s="218">
        <f t="shared" si="12"/>
        <v>3812.2355232232198</v>
      </c>
      <c r="H130" s="218">
        <f t="shared" si="15"/>
        <v>2408.8498402338332</v>
      </c>
      <c r="I130" s="218">
        <f t="shared" si="13"/>
        <v>624583.3749725594</v>
      </c>
      <c r="J130" s="218">
        <f>SUM($H$18:$H130)</f>
        <v>352566.0210432068</v>
      </c>
    </row>
    <row r="131" spans="1:10" x14ac:dyDescent="0.2">
      <c r="A131" s="221">
        <f>IF(Values_Entered,A130+1,"")</f>
        <v>114</v>
      </c>
      <c r="B131" s="220">
        <f t="shared" si="8"/>
        <v>46986</v>
      </c>
      <c r="C131" s="218">
        <f t="shared" si="14"/>
        <v>624583.3749725594</v>
      </c>
      <c r="D131" s="218">
        <f t="shared" si="9"/>
        <v>6221.0853634570531</v>
      </c>
      <c r="E131" s="219">
        <f t="shared" si="10"/>
        <v>0</v>
      </c>
      <c r="F131" s="218">
        <f t="shared" si="11"/>
        <v>6221.0853634570531</v>
      </c>
      <c r="G131" s="218">
        <f t="shared" si="12"/>
        <v>3826.849092728909</v>
      </c>
      <c r="H131" s="218">
        <f t="shared" si="15"/>
        <v>2394.2362707281441</v>
      </c>
      <c r="I131" s="218">
        <f t="shared" si="13"/>
        <v>620756.52587983047</v>
      </c>
      <c r="J131" s="218">
        <f>SUM($H$18:$H131)</f>
        <v>354960.25731393497</v>
      </c>
    </row>
    <row r="132" spans="1:10" x14ac:dyDescent="0.2">
      <c r="A132" s="221">
        <f>IF(Values_Entered,A131+1,"")</f>
        <v>115</v>
      </c>
      <c r="B132" s="220">
        <f t="shared" si="8"/>
        <v>47017</v>
      </c>
      <c r="C132" s="218">
        <f t="shared" si="14"/>
        <v>620756.52587983047</v>
      </c>
      <c r="D132" s="218">
        <f t="shared" si="9"/>
        <v>6221.0853634570531</v>
      </c>
      <c r="E132" s="219">
        <f t="shared" si="10"/>
        <v>0</v>
      </c>
      <c r="F132" s="218">
        <f t="shared" si="11"/>
        <v>6221.0853634570531</v>
      </c>
      <c r="G132" s="218">
        <f t="shared" si="12"/>
        <v>3841.518680917703</v>
      </c>
      <c r="H132" s="218">
        <f t="shared" si="15"/>
        <v>2379.56668253935</v>
      </c>
      <c r="I132" s="218">
        <f t="shared" si="13"/>
        <v>616915.00719891279</v>
      </c>
      <c r="J132" s="218">
        <f>SUM($H$18:$H132)</f>
        <v>357339.82399647433</v>
      </c>
    </row>
    <row r="133" spans="1:10" x14ac:dyDescent="0.2">
      <c r="A133" s="221">
        <f>IF(Values_Entered,A132+1,"")</f>
        <v>116</v>
      </c>
      <c r="B133" s="220">
        <f t="shared" si="8"/>
        <v>47047</v>
      </c>
      <c r="C133" s="218">
        <f t="shared" si="14"/>
        <v>616915.00719891279</v>
      </c>
      <c r="D133" s="218">
        <f t="shared" si="9"/>
        <v>6221.0853634570531</v>
      </c>
      <c r="E133" s="219">
        <f t="shared" si="10"/>
        <v>0</v>
      </c>
      <c r="F133" s="218">
        <f t="shared" si="11"/>
        <v>6221.0853634570531</v>
      </c>
      <c r="G133" s="218">
        <f t="shared" si="12"/>
        <v>3856.2445025278871</v>
      </c>
      <c r="H133" s="218">
        <f t="shared" si="15"/>
        <v>2364.840860929166</v>
      </c>
      <c r="I133" s="218">
        <f t="shared" si="13"/>
        <v>613058.76269638492</v>
      </c>
      <c r="J133" s="218">
        <f>SUM($H$18:$H133)</f>
        <v>359704.66485740349</v>
      </c>
    </row>
    <row r="134" spans="1:10" x14ac:dyDescent="0.2">
      <c r="A134" s="221">
        <f>IF(Values_Entered,A133+1,"")</f>
        <v>117</v>
      </c>
      <c r="B134" s="220">
        <f t="shared" si="8"/>
        <v>47078</v>
      </c>
      <c r="C134" s="218">
        <f t="shared" si="14"/>
        <v>613058.76269638492</v>
      </c>
      <c r="D134" s="218">
        <f t="shared" si="9"/>
        <v>6221.0853634570531</v>
      </c>
      <c r="E134" s="219">
        <f t="shared" si="10"/>
        <v>0</v>
      </c>
      <c r="F134" s="218">
        <f t="shared" si="11"/>
        <v>6221.0853634570531</v>
      </c>
      <c r="G134" s="218">
        <f t="shared" si="12"/>
        <v>3871.026773120911</v>
      </c>
      <c r="H134" s="218">
        <f t="shared" si="15"/>
        <v>2350.0585903361421</v>
      </c>
      <c r="I134" s="218">
        <f t="shared" si="13"/>
        <v>609187.73592326406</v>
      </c>
      <c r="J134" s="218">
        <f>SUM($H$18:$H134)</f>
        <v>362054.72344773961</v>
      </c>
    </row>
    <row r="135" spans="1:10" x14ac:dyDescent="0.2">
      <c r="A135" s="221">
        <f>IF(Values_Entered,A134+1,"")</f>
        <v>118</v>
      </c>
      <c r="B135" s="220">
        <f t="shared" si="8"/>
        <v>47108</v>
      </c>
      <c r="C135" s="218">
        <f t="shared" si="14"/>
        <v>609187.73592326406</v>
      </c>
      <c r="D135" s="218">
        <f t="shared" si="9"/>
        <v>6221.0853634570531</v>
      </c>
      <c r="E135" s="219">
        <f t="shared" si="10"/>
        <v>0</v>
      </c>
      <c r="F135" s="218">
        <f t="shared" si="11"/>
        <v>6221.0853634570531</v>
      </c>
      <c r="G135" s="218">
        <f t="shared" si="12"/>
        <v>3885.8657090845409</v>
      </c>
      <c r="H135" s="218">
        <f t="shared" si="15"/>
        <v>2335.2196543725122</v>
      </c>
      <c r="I135" s="218">
        <f t="shared" si="13"/>
        <v>605301.87021417951</v>
      </c>
      <c r="J135" s="218">
        <f>SUM($H$18:$H135)</f>
        <v>364389.9431021121</v>
      </c>
    </row>
    <row r="136" spans="1:10" x14ac:dyDescent="0.2">
      <c r="A136" s="221">
        <f>IF(Values_Entered,A135+1,"")</f>
        <v>119</v>
      </c>
      <c r="B136" s="220">
        <f t="shared" si="8"/>
        <v>47139</v>
      </c>
      <c r="C136" s="218">
        <f t="shared" si="14"/>
        <v>605301.87021417951</v>
      </c>
      <c r="D136" s="218">
        <f t="shared" si="9"/>
        <v>6221.0853634570531</v>
      </c>
      <c r="E136" s="219">
        <f t="shared" si="10"/>
        <v>0</v>
      </c>
      <c r="F136" s="218">
        <f t="shared" si="11"/>
        <v>6221.0853634570531</v>
      </c>
      <c r="G136" s="218">
        <f t="shared" si="12"/>
        <v>3900.7615276360316</v>
      </c>
      <c r="H136" s="218">
        <f t="shared" si="15"/>
        <v>2320.3238358210215</v>
      </c>
      <c r="I136" s="218">
        <f t="shared" si="13"/>
        <v>601401.10868654342</v>
      </c>
      <c r="J136" s="218">
        <f>SUM($H$18:$H136)</f>
        <v>366710.26693793311</v>
      </c>
    </row>
    <row r="137" spans="1:10" x14ac:dyDescent="0.2">
      <c r="A137" s="221">
        <f>IF(Values_Entered,A136+1,"")</f>
        <v>120</v>
      </c>
      <c r="B137" s="220">
        <f t="shared" si="8"/>
        <v>47170</v>
      </c>
      <c r="C137" s="218">
        <f t="shared" si="14"/>
        <v>601401.10868654342</v>
      </c>
      <c r="D137" s="218">
        <f t="shared" si="9"/>
        <v>6221.0853634570531</v>
      </c>
      <c r="E137" s="219">
        <f t="shared" si="10"/>
        <v>0</v>
      </c>
      <c r="F137" s="218">
        <f t="shared" si="11"/>
        <v>6221.0853634570531</v>
      </c>
      <c r="G137" s="218">
        <f t="shared" si="12"/>
        <v>3915.7144468253032</v>
      </c>
      <c r="H137" s="218">
        <f t="shared" si="15"/>
        <v>2305.3709166317499</v>
      </c>
      <c r="I137" s="218">
        <f t="shared" si="13"/>
        <v>597485.39423971809</v>
      </c>
      <c r="J137" s="218">
        <f>SUM($H$18:$H137)</f>
        <v>369015.63785456488</v>
      </c>
    </row>
    <row r="138" spans="1:10" x14ac:dyDescent="0.2">
      <c r="A138" s="221">
        <f>IF(Values_Entered,A137+1,"")</f>
        <v>121</v>
      </c>
      <c r="B138" s="220">
        <f t="shared" si="8"/>
        <v>47198</v>
      </c>
      <c r="C138" s="218">
        <f t="shared" si="14"/>
        <v>597485.39423971809</v>
      </c>
      <c r="D138" s="218">
        <f t="shared" si="9"/>
        <v>6221.0853634570531</v>
      </c>
      <c r="E138" s="219">
        <f t="shared" si="10"/>
        <v>0</v>
      </c>
      <c r="F138" s="218">
        <f t="shared" si="11"/>
        <v>6221.0853634570531</v>
      </c>
      <c r="G138" s="218">
        <f t="shared" si="12"/>
        <v>3930.7246855381336</v>
      </c>
      <c r="H138" s="218">
        <f t="shared" si="15"/>
        <v>2290.3606779189195</v>
      </c>
      <c r="I138" s="218">
        <f t="shared" si="13"/>
        <v>593554.66955418</v>
      </c>
      <c r="J138" s="218">
        <f>SUM($H$18:$H138)</f>
        <v>371305.99853248382</v>
      </c>
    </row>
    <row r="139" spans="1:10" x14ac:dyDescent="0.2">
      <c r="A139" s="221">
        <f>IF(Values_Entered,A138+1,"")</f>
        <v>122</v>
      </c>
      <c r="B139" s="220">
        <f t="shared" si="8"/>
        <v>47229</v>
      </c>
      <c r="C139" s="218">
        <f t="shared" si="14"/>
        <v>593554.66955418</v>
      </c>
      <c r="D139" s="218">
        <f t="shared" si="9"/>
        <v>6221.0853634570531</v>
      </c>
      <c r="E139" s="219">
        <f t="shared" si="10"/>
        <v>0</v>
      </c>
      <c r="F139" s="218">
        <f t="shared" si="11"/>
        <v>6221.0853634570531</v>
      </c>
      <c r="G139" s="218">
        <f t="shared" si="12"/>
        <v>3945.7924634993628</v>
      </c>
      <c r="H139" s="218">
        <f t="shared" si="15"/>
        <v>2275.2928999576902</v>
      </c>
      <c r="I139" s="218">
        <f t="shared" si="13"/>
        <v>589608.87709068065</v>
      </c>
      <c r="J139" s="218">
        <f>SUM($H$18:$H139)</f>
        <v>373581.2914324415</v>
      </c>
    </row>
    <row r="140" spans="1:10" x14ac:dyDescent="0.2">
      <c r="A140" s="221">
        <f>IF(Values_Entered,A139+1,"")</f>
        <v>123</v>
      </c>
      <c r="B140" s="220">
        <f t="shared" si="8"/>
        <v>47259</v>
      </c>
      <c r="C140" s="218">
        <f t="shared" si="14"/>
        <v>589608.87709068065</v>
      </c>
      <c r="D140" s="218">
        <f t="shared" si="9"/>
        <v>6221.0853634570531</v>
      </c>
      <c r="E140" s="219">
        <f t="shared" si="10"/>
        <v>0</v>
      </c>
      <c r="F140" s="218">
        <f t="shared" si="11"/>
        <v>6221.0853634570531</v>
      </c>
      <c r="G140" s="218">
        <f t="shared" si="12"/>
        <v>3960.9180012761108</v>
      </c>
      <c r="H140" s="218">
        <f t="shared" si="15"/>
        <v>2260.1673621809423</v>
      </c>
      <c r="I140" s="218">
        <f t="shared" si="13"/>
        <v>585647.95908940455</v>
      </c>
      <c r="J140" s="218">
        <f>SUM($H$18:$H140)</f>
        <v>375841.45879462245</v>
      </c>
    </row>
    <row r="141" spans="1:10" x14ac:dyDescent="0.2">
      <c r="A141" s="221">
        <f>IF(Values_Entered,A140+1,"")</f>
        <v>124</v>
      </c>
      <c r="B141" s="220">
        <f t="shared" si="8"/>
        <v>47290</v>
      </c>
      <c r="C141" s="218">
        <f t="shared" si="14"/>
        <v>585647.95908940455</v>
      </c>
      <c r="D141" s="218">
        <f t="shared" si="9"/>
        <v>6221.0853634570531</v>
      </c>
      <c r="E141" s="219">
        <f t="shared" si="10"/>
        <v>0</v>
      </c>
      <c r="F141" s="218">
        <f t="shared" si="11"/>
        <v>6221.0853634570531</v>
      </c>
      <c r="G141" s="218">
        <f t="shared" si="12"/>
        <v>3976.1015202810022</v>
      </c>
      <c r="H141" s="218">
        <f t="shared" si="15"/>
        <v>2244.9838431760509</v>
      </c>
      <c r="I141" s="218">
        <f t="shared" si="13"/>
        <v>581671.8575691235</v>
      </c>
      <c r="J141" s="218">
        <f>SUM($H$18:$H141)</f>
        <v>378086.44263779849</v>
      </c>
    </row>
    <row r="142" spans="1:10" x14ac:dyDescent="0.2">
      <c r="A142" s="221">
        <f>IF(Values_Entered,A141+1,"")</f>
        <v>125</v>
      </c>
      <c r="B142" s="220">
        <f t="shared" si="8"/>
        <v>47320</v>
      </c>
      <c r="C142" s="218">
        <f t="shared" si="14"/>
        <v>581671.8575691235</v>
      </c>
      <c r="D142" s="218">
        <f t="shared" si="9"/>
        <v>6221.0853634570531</v>
      </c>
      <c r="E142" s="219">
        <f t="shared" si="10"/>
        <v>0</v>
      </c>
      <c r="F142" s="218">
        <f t="shared" si="11"/>
        <v>6221.0853634570531</v>
      </c>
      <c r="G142" s="218">
        <f t="shared" si="12"/>
        <v>3991.3432427754128</v>
      </c>
      <c r="H142" s="218">
        <f t="shared" si="15"/>
        <v>2229.7421206816402</v>
      </c>
      <c r="I142" s="218">
        <f t="shared" si="13"/>
        <v>577680.51432634809</v>
      </c>
      <c r="J142" s="218">
        <f>SUM($H$18:$H142)</f>
        <v>380316.18475848011</v>
      </c>
    </row>
    <row r="143" spans="1:10" x14ac:dyDescent="0.2">
      <c r="A143" s="221">
        <f>IF(Values_Entered,A142+1,"")</f>
        <v>126</v>
      </c>
      <c r="B143" s="220">
        <f t="shared" si="8"/>
        <v>47351</v>
      </c>
      <c r="C143" s="218">
        <f t="shared" si="14"/>
        <v>577680.51432634809</v>
      </c>
      <c r="D143" s="218">
        <f t="shared" si="9"/>
        <v>6221.0853634570531</v>
      </c>
      <c r="E143" s="219">
        <f t="shared" si="10"/>
        <v>0</v>
      </c>
      <c r="F143" s="218">
        <f t="shared" si="11"/>
        <v>6221.0853634570531</v>
      </c>
      <c r="G143" s="218">
        <f t="shared" si="12"/>
        <v>4006.6433918727189</v>
      </c>
      <c r="H143" s="218">
        <f t="shared" si="15"/>
        <v>2214.4419715843342</v>
      </c>
      <c r="I143" s="218">
        <f t="shared" si="13"/>
        <v>573673.87093447533</v>
      </c>
      <c r="J143" s="218">
        <f>SUM($H$18:$H143)</f>
        <v>382530.62673006445</v>
      </c>
    </row>
    <row r="144" spans="1:10" x14ac:dyDescent="0.2">
      <c r="A144" s="221">
        <f>IF(Values_Entered,A143+1,"")</f>
        <v>127</v>
      </c>
      <c r="B144" s="220">
        <f t="shared" si="8"/>
        <v>47382</v>
      </c>
      <c r="C144" s="218">
        <f t="shared" si="14"/>
        <v>573673.87093447533</v>
      </c>
      <c r="D144" s="218">
        <f t="shared" si="9"/>
        <v>6221.0853634570531</v>
      </c>
      <c r="E144" s="219">
        <f t="shared" si="10"/>
        <v>0</v>
      </c>
      <c r="F144" s="218">
        <f t="shared" si="11"/>
        <v>6221.0853634570531</v>
      </c>
      <c r="G144" s="218">
        <f t="shared" si="12"/>
        <v>4022.0021915415641</v>
      </c>
      <c r="H144" s="218">
        <f t="shared" si="15"/>
        <v>2199.0831719154889</v>
      </c>
      <c r="I144" s="218">
        <f t="shared" si="13"/>
        <v>569651.86874293373</v>
      </c>
      <c r="J144" s="218">
        <f>SUM($H$18:$H144)</f>
        <v>384729.70990197995</v>
      </c>
    </row>
    <row r="145" spans="1:10" x14ac:dyDescent="0.2">
      <c r="A145" s="221">
        <f>IF(Values_Entered,A144+1,"")</f>
        <v>128</v>
      </c>
      <c r="B145" s="220">
        <f t="shared" si="8"/>
        <v>47412</v>
      </c>
      <c r="C145" s="218">
        <f t="shared" si="14"/>
        <v>569651.86874293373</v>
      </c>
      <c r="D145" s="218">
        <f t="shared" si="9"/>
        <v>6221.0853634570531</v>
      </c>
      <c r="E145" s="219">
        <f t="shared" si="10"/>
        <v>0</v>
      </c>
      <c r="F145" s="218">
        <f t="shared" si="11"/>
        <v>6221.0853634570531</v>
      </c>
      <c r="G145" s="218">
        <f t="shared" si="12"/>
        <v>4037.4198666091402</v>
      </c>
      <c r="H145" s="218">
        <f t="shared" si="15"/>
        <v>2183.6654968479129</v>
      </c>
      <c r="I145" s="218">
        <f t="shared" si="13"/>
        <v>565614.44887632458</v>
      </c>
      <c r="J145" s="218">
        <f>SUM($H$18:$H145)</f>
        <v>386913.37539882789</v>
      </c>
    </row>
    <row r="146" spans="1:10" x14ac:dyDescent="0.2">
      <c r="A146" s="221">
        <f>IF(Values_Entered,A145+1,"")</f>
        <v>129</v>
      </c>
      <c r="B146" s="220">
        <f t="shared" ref="B146:B209" si="16">IF(Pay_Num&lt;&gt;"",DATE(YEAR(Loan_Start),MONTH(Loan_Start)+(Pay_Num)*12/Num_Pmt_Per_Year,DAY(Loan_Start)),"")</f>
        <v>47443</v>
      </c>
      <c r="C146" s="218">
        <f t="shared" si="14"/>
        <v>565614.44887632458</v>
      </c>
      <c r="D146" s="218">
        <f t="shared" ref="D146:D209" si="17">IF(Pay_Num&lt;&gt;"",Scheduled_Monthly_Payment,"")</f>
        <v>6221.0853634570531</v>
      </c>
      <c r="E146" s="219">
        <f t="shared" ref="E146:E209" si="18">IF(AND(Pay_Num&lt;&gt;"",Sched_Pay+Scheduled_Extra_Payments&lt;Beg_Bal),Scheduled_Extra_Payments,IF(AND(Pay_Num&lt;&gt;"",Beg_Bal-Sched_Pay&gt;0),Beg_Bal-Sched_Pay,IF(Pay_Num&lt;&gt;"",0,"")))</f>
        <v>0</v>
      </c>
      <c r="F146" s="218">
        <f t="shared" ref="F146:F209" si="19">IF(AND(Pay_Num&lt;&gt;"",Sched_Pay+Extra_Pay&lt;Beg_Bal),Sched_Pay+Extra_Pay,IF(Pay_Num&lt;&gt;"",Beg_Bal,""))</f>
        <v>6221.0853634570531</v>
      </c>
      <c r="G146" s="218">
        <f t="shared" ref="G146:G209" si="20">IF(Pay_Num&lt;&gt;"",Total_Pay-Int,"")</f>
        <v>4052.8966427644755</v>
      </c>
      <c r="H146" s="218">
        <f t="shared" si="15"/>
        <v>2168.1887206925776</v>
      </c>
      <c r="I146" s="218">
        <f t="shared" ref="I146:I209" si="21">IF(AND(Pay_Num&lt;&gt;"",Sched_Pay+Extra_Pay&lt;Beg_Bal),Beg_Bal-Princ,IF(Pay_Num&lt;&gt;"",0,""))</f>
        <v>561561.55223356013</v>
      </c>
      <c r="J146" s="218">
        <f>SUM($H$18:$H146)</f>
        <v>389081.56411952048</v>
      </c>
    </row>
    <row r="147" spans="1:10" x14ac:dyDescent="0.2">
      <c r="A147" s="221">
        <f>IF(Values_Entered,A146+1,"")</f>
        <v>130</v>
      </c>
      <c r="B147" s="220">
        <f t="shared" si="16"/>
        <v>47473</v>
      </c>
      <c r="C147" s="218">
        <f t="shared" ref="C147:C210" si="22">IF(Pay_Num&lt;&gt;"",I146,"")</f>
        <v>561561.55223356013</v>
      </c>
      <c r="D147" s="218">
        <f t="shared" si="17"/>
        <v>6221.0853634570531</v>
      </c>
      <c r="E147" s="219">
        <f t="shared" si="18"/>
        <v>0</v>
      </c>
      <c r="F147" s="218">
        <f t="shared" si="19"/>
        <v>6221.0853634570531</v>
      </c>
      <c r="G147" s="218">
        <f t="shared" si="20"/>
        <v>4068.4327465617393</v>
      </c>
      <c r="H147" s="218">
        <f t="shared" ref="H147:H210" si="23">IF(Pay_Num&lt;&gt;"",Beg_Bal*Interest_Rate/Num_Pmt_Per_Year,"")</f>
        <v>2152.6526168953137</v>
      </c>
      <c r="I147" s="218">
        <f t="shared" si="21"/>
        <v>557493.11948699842</v>
      </c>
      <c r="J147" s="218">
        <f>SUM($H$18:$H147)</f>
        <v>391234.21673641581</v>
      </c>
    </row>
    <row r="148" spans="1:10" x14ac:dyDescent="0.2">
      <c r="A148" s="221">
        <f>IF(Values_Entered,A147+1,"")</f>
        <v>131</v>
      </c>
      <c r="B148" s="220">
        <f t="shared" si="16"/>
        <v>47504</v>
      </c>
      <c r="C148" s="218">
        <f t="shared" si="22"/>
        <v>557493.11948699842</v>
      </c>
      <c r="D148" s="218">
        <f t="shared" si="17"/>
        <v>6221.0853634570531</v>
      </c>
      <c r="E148" s="219">
        <f t="shared" si="18"/>
        <v>0</v>
      </c>
      <c r="F148" s="218">
        <f t="shared" si="19"/>
        <v>6221.0853634570531</v>
      </c>
      <c r="G148" s="218">
        <f t="shared" si="20"/>
        <v>4084.0284054235594</v>
      </c>
      <c r="H148" s="218">
        <f t="shared" si="23"/>
        <v>2137.0569580334936</v>
      </c>
      <c r="I148" s="218">
        <f t="shared" si="21"/>
        <v>553409.09108157491</v>
      </c>
      <c r="J148" s="218">
        <f>SUM($H$18:$H148)</f>
        <v>393371.27369444928</v>
      </c>
    </row>
    <row r="149" spans="1:10" x14ac:dyDescent="0.2">
      <c r="A149" s="221">
        <f>IF(Values_Entered,A148+1,"")</f>
        <v>132</v>
      </c>
      <c r="B149" s="220">
        <f t="shared" si="16"/>
        <v>47535</v>
      </c>
      <c r="C149" s="218">
        <f t="shared" si="22"/>
        <v>553409.09108157491</v>
      </c>
      <c r="D149" s="218">
        <f t="shared" si="17"/>
        <v>6221.0853634570531</v>
      </c>
      <c r="E149" s="219">
        <f t="shared" si="18"/>
        <v>0</v>
      </c>
      <c r="F149" s="218">
        <f t="shared" si="19"/>
        <v>6221.0853634570531</v>
      </c>
      <c r="G149" s="218">
        <f t="shared" si="20"/>
        <v>4099.68384764435</v>
      </c>
      <c r="H149" s="218">
        <f t="shared" si="23"/>
        <v>2121.4015158127036</v>
      </c>
      <c r="I149" s="218">
        <f t="shared" si="21"/>
        <v>549309.40723393054</v>
      </c>
      <c r="J149" s="218">
        <f>SUM($H$18:$H149)</f>
        <v>395492.67521026201</v>
      </c>
    </row>
    <row r="150" spans="1:10" x14ac:dyDescent="0.2">
      <c r="A150" s="221">
        <f>IF(Values_Entered,A149+1,"")</f>
        <v>133</v>
      </c>
      <c r="B150" s="220">
        <f t="shared" si="16"/>
        <v>47563</v>
      </c>
      <c r="C150" s="218">
        <f t="shared" si="22"/>
        <v>549309.40723393054</v>
      </c>
      <c r="D150" s="218">
        <f t="shared" si="17"/>
        <v>6221.0853634570531</v>
      </c>
      <c r="E150" s="219">
        <f t="shared" si="18"/>
        <v>0</v>
      </c>
      <c r="F150" s="218">
        <f t="shared" si="19"/>
        <v>6221.0853634570531</v>
      </c>
      <c r="G150" s="218">
        <f t="shared" si="20"/>
        <v>4115.3993023936528</v>
      </c>
      <c r="H150" s="218">
        <f t="shared" si="23"/>
        <v>2105.6860610634003</v>
      </c>
      <c r="I150" s="218">
        <f t="shared" si="21"/>
        <v>545194.00793153688</v>
      </c>
      <c r="J150" s="218">
        <f>SUM($H$18:$H150)</f>
        <v>397598.36127132538</v>
      </c>
    </row>
    <row r="151" spans="1:10" x14ac:dyDescent="0.2">
      <c r="A151" s="221">
        <f>IF(Values_Entered,A150+1,"")</f>
        <v>134</v>
      </c>
      <c r="B151" s="220">
        <f t="shared" si="16"/>
        <v>47594</v>
      </c>
      <c r="C151" s="218">
        <f t="shared" si="22"/>
        <v>545194.00793153688</v>
      </c>
      <c r="D151" s="218">
        <f t="shared" si="17"/>
        <v>6221.0853634570531</v>
      </c>
      <c r="E151" s="219">
        <f t="shared" si="18"/>
        <v>0</v>
      </c>
      <c r="F151" s="218">
        <f t="shared" si="19"/>
        <v>6221.0853634570531</v>
      </c>
      <c r="G151" s="218">
        <f t="shared" si="20"/>
        <v>4131.1749997194947</v>
      </c>
      <c r="H151" s="218">
        <f t="shared" si="23"/>
        <v>2089.9103637375579</v>
      </c>
      <c r="I151" s="218">
        <f t="shared" si="21"/>
        <v>541062.83293181739</v>
      </c>
      <c r="J151" s="218">
        <f>SUM($H$18:$H151)</f>
        <v>399688.27163506293</v>
      </c>
    </row>
    <row r="152" spans="1:10" x14ac:dyDescent="0.2">
      <c r="A152" s="221">
        <f>IF(Values_Entered,A151+1,"")</f>
        <v>135</v>
      </c>
      <c r="B152" s="220">
        <f t="shared" si="16"/>
        <v>47624</v>
      </c>
      <c r="C152" s="218">
        <f t="shared" si="22"/>
        <v>541062.83293181739</v>
      </c>
      <c r="D152" s="218">
        <f t="shared" si="17"/>
        <v>6221.0853634570531</v>
      </c>
      <c r="E152" s="219">
        <f t="shared" si="18"/>
        <v>0</v>
      </c>
      <c r="F152" s="218">
        <f t="shared" si="19"/>
        <v>6221.0853634570531</v>
      </c>
      <c r="G152" s="218">
        <f t="shared" si="20"/>
        <v>4147.0111705517538</v>
      </c>
      <c r="H152" s="218">
        <f t="shared" si="23"/>
        <v>2074.0741929052997</v>
      </c>
      <c r="I152" s="218">
        <f t="shared" si="21"/>
        <v>536915.82176126563</v>
      </c>
      <c r="J152" s="218">
        <f>SUM($H$18:$H152)</f>
        <v>401762.34582796821</v>
      </c>
    </row>
    <row r="153" spans="1:10" x14ac:dyDescent="0.2">
      <c r="A153" s="221">
        <f>IF(Values_Entered,A152+1,"")</f>
        <v>136</v>
      </c>
      <c r="B153" s="220">
        <f t="shared" si="16"/>
        <v>47655</v>
      </c>
      <c r="C153" s="218">
        <f t="shared" si="22"/>
        <v>536915.82176126563</v>
      </c>
      <c r="D153" s="218">
        <f t="shared" si="17"/>
        <v>6221.0853634570531</v>
      </c>
      <c r="E153" s="219">
        <f t="shared" si="18"/>
        <v>0</v>
      </c>
      <c r="F153" s="218">
        <f t="shared" si="19"/>
        <v>6221.0853634570531</v>
      </c>
      <c r="G153" s="218">
        <f t="shared" si="20"/>
        <v>4162.9080467055355</v>
      </c>
      <c r="H153" s="218">
        <f t="shared" si="23"/>
        <v>2058.177316751518</v>
      </c>
      <c r="I153" s="218">
        <f t="shared" si="21"/>
        <v>532752.9137145601</v>
      </c>
      <c r="J153" s="218">
        <f>SUM($H$18:$H153)</f>
        <v>403820.52314471971</v>
      </c>
    </row>
    <row r="154" spans="1:10" x14ac:dyDescent="0.2">
      <c r="A154" s="221">
        <f>IF(Values_Entered,A153+1,"")</f>
        <v>137</v>
      </c>
      <c r="B154" s="220">
        <f t="shared" si="16"/>
        <v>47685</v>
      </c>
      <c r="C154" s="218">
        <f t="shared" si="22"/>
        <v>532752.9137145601</v>
      </c>
      <c r="D154" s="218">
        <f t="shared" si="17"/>
        <v>6221.0853634570531</v>
      </c>
      <c r="E154" s="219">
        <f t="shared" si="18"/>
        <v>0</v>
      </c>
      <c r="F154" s="218">
        <f t="shared" si="19"/>
        <v>6221.0853634570531</v>
      </c>
      <c r="G154" s="218">
        <f t="shared" si="20"/>
        <v>4178.8658608845726</v>
      </c>
      <c r="H154" s="218">
        <f t="shared" si="23"/>
        <v>2042.2195025724805</v>
      </c>
      <c r="I154" s="218">
        <f t="shared" si="21"/>
        <v>528574.04785367555</v>
      </c>
      <c r="J154" s="218">
        <f>SUM($H$18:$H154)</f>
        <v>405862.74264729221</v>
      </c>
    </row>
    <row r="155" spans="1:10" x14ac:dyDescent="0.2">
      <c r="A155" s="221">
        <f>IF(Values_Entered,A154+1,"")</f>
        <v>138</v>
      </c>
      <c r="B155" s="220">
        <f t="shared" si="16"/>
        <v>47716</v>
      </c>
      <c r="C155" s="218">
        <f t="shared" si="22"/>
        <v>528574.04785367555</v>
      </c>
      <c r="D155" s="218">
        <f t="shared" si="17"/>
        <v>6221.0853634570531</v>
      </c>
      <c r="E155" s="219">
        <f t="shared" si="18"/>
        <v>0</v>
      </c>
      <c r="F155" s="218">
        <f t="shared" si="19"/>
        <v>6221.0853634570531</v>
      </c>
      <c r="G155" s="218">
        <f t="shared" si="20"/>
        <v>4194.8848466846302</v>
      </c>
      <c r="H155" s="218">
        <f t="shared" si="23"/>
        <v>2026.2005167724228</v>
      </c>
      <c r="I155" s="218">
        <f t="shared" si="21"/>
        <v>524379.16300699092</v>
      </c>
      <c r="J155" s="218">
        <f>SUM($H$18:$H155)</f>
        <v>407888.94316406461</v>
      </c>
    </row>
    <row r="156" spans="1:10" x14ac:dyDescent="0.2">
      <c r="A156" s="221">
        <f>IF(Values_Entered,A155+1,"")</f>
        <v>139</v>
      </c>
      <c r="B156" s="220">
        <f t="shared" si="16"/>
        <v>47747</v>
      </c>
      <c r="C156" s="218">
        <f t="shared" si="22"/>
        <v>524379.16300699092</v>
      </c>
      <c r="D156" s="218">
        <f t="shared" si="17"/>
        <v>6221.0853634570531</v>
      </c>
      <c r="E156" s="219">
        <f t="shared" si="18"/>
        <v>0</v>
      </c>
      <c r="F156" s="218">
        <f t="shared" si="19"/>
        <v>6221.0853634570531</v>
      </c>
      <c r="G156" s="218">
        <f t="shared" si="20"/>
        <v>4210.9652385969212</v>
      </c>
      <c r="H156" s="218">
        <f t="shared" si="23"/>
        <v>2010.1201248601319</v>
      </c>
      <c r="I156" s="218">
        <f t="shared" si="21"/>
        <v>520168.19776839402</v>
      </c>
      <c r="J156" s="218">
        <f>SUM($H$18:$H156)</f>
        <v>409899.06328892475</v>
      </c>
    </row>
    <row r="157" spans="1:10" x14ac:dyDescent="0.2">
      <c r="A157" s="221">
        <f>IF(Values_Entered,A156+1,"")</f>
        <v>140</v>
      </c>
      <c r="B157" s="220">
        <f t="shared" si="16"/>
        <v>47777</v>
      </c>
      <c r="C157" s="218">
        <f t="shared" si="22"/>
        <v>520168.19776839402</v>
      </c>
      <c r="D157" s="218">
        <f t="shared" si="17"/>
        <v>6221.0853634570531</v>
      </c>
      <c r="E157" s="219">
        <f t="shared" si="18"/>
        <v>0</v>
      </c>
      <c r="F157" s="218">
        <f t="shared" si="19"/>
        <v>6221.0853634570531</v>
      </c>
      <c r="G157" s="218">
        <f t="shared" si="20"/>
        <v>4227.1072720115426</v>
      </c>
      <c r="H157" s="218">
        <f t="shared" si="23"/>
        <v>1993.9780914455105</v>
      </c>
      <c r="I157" s="218">
        <f t="shared" si="21"/>
        <v>515941.0904963825</v>
      </c>
      <c r="J157" s="218">
        <f>SUM($H$18:$H157)</f>
        <v>411893.04138037027</v>
      </c>
    </row>
    <row r="158" spans="1:10" x14ac:dyDescent="0.2">
      <c r="A158" s="221">
        <f>IF(Values_Entered,A157+1,"")</f>
        <v>141</v>
      </c>
      <c r="B158" s="220">
        <f t="shared" si="16"/>
        <v>47808</v>
      </c>
      <c r="C158" s="218">
        <f t="shared" si="22"/>
        <v>515941.0904963825</v>
      </c>
      <c r="D158" s="218">
        <f t="shared" si="17"/>
        <v>6221.0853634570531</v>
      </c>
      <c r="E158" s="219">
        <f t="shared" si="18"/>
        <v>0</v>
      </c>
      <c r="F158" s="218">
        <f t="shared" si="19"/>
        <v>6221.0853634570531</v>
      </c>
      <c r="G158" s="218">
        <f t="shared" si="20"/>
        <v>4243.3111832209206</v>
      </c>
      <c r="H158" s="218">
        <f t="shared" si="23"/>
        <v>1977.7741802361327</v>
      </c>
      <c r="I158" s="218">
        <f t="shared" si="21"/>
        <v>511697.77931316156</v>
      </c>
      <c r="J158" s="218">
        <f>SUM($H$18:$H158)</f>
        <v>413870.81556060642</v>
      </c>
    </row>
    <row r="159" spans="1:10" x14ac:dyDescent="0.2">
      <c r="A159" s="221">
        <f>IF(Values_Entered,A158+1,"")</f>
        <v>142</v>
      </c>
      <c r="B159" s="220">
        <f t="shared" si="16"/>
        <v>47838</v>
      </c>
      <c r="C159" s="218">
        <f t="shared" si="22"/>
        <v>511697.77931316156</v>
      </c>
      <c r="D159" s="218">
        <f t="shared" si="17"/>
        <v>6221.0853634570531</v>
      </c>
      <c r="E159" s="219">
        <f t="shared" si="18"/>
        <v>0</v>
      </c>
      <c r="F159" s="218">
        <f t="shared" si="19"/>
        <v>6221.0853634570531</v>
      </c>
      <c r="G159" s="218">
        <f t="shared" si="20"/>
        <v>4259.577209423267</v>
      </c>
      <c r="H159" s="218">
        <f t="shared" si="23"/>
        <v>1961.508154033786</v>
      </c>
      <c r="I159" s="218">
        <f t="shared" si="21"/>
        <v>507438.20210373832</v>
      </c>
      <c r="J159" s="218">
        <f>SUM($H$18:$H159)</f>
        <v>415832.32371464022</v>
      </c>
    </row>
    <row r="160" spans="1:10" x14ac:dyDescent="0.2">
      <c r="A160" s="221">
        <f>IF(Values_Entered,A159+1,"")</f>
        <v>143</v>
      </c>
      <c r="B160" s="220">
        <f t="shared" si="16"/>
        <v>47869</v>
      </c>
      <c r="C160" s="218">
        <f t="shared" si="22"/>
        <v>507438.20210373832</v>
      </c>
      <c r="D160" s="218">
        <f t="shared" si="17"/>
        <v>6221.0853634570531</v>
      </c>
      <c r="E160" s="219">
        <f t="shared" si="18"/>
        <v>0</v>
      </c>
      <c r="F160" s="218">
        <f t="shared" si="19"/>
        <v>6221.0853634570531</v>
      </c>
      <c r="G160" s="218">
        <f t="shared" si="20"/>
        <v>4275.9055887260565</v>
      </c>
      <c r="H160" s="218">
        <f t="shared" si="23"/>
        <v>1945.1797747309968</v>
      </c>
      <c r="I160" s="218">
        <f t="shared" si="21"/>
        <v>503162.29651501228</v>
      </c>
      <c r="J160" s="218">
        <f>SUM($H$18:$H160)</f>
        <v>417777.50348937121</v>
      </c>
    </row>
    <row r="161" spans="1:10" x14ac:dyDescent="0.2">
      <c r="A161" s="221">
        <f>IF(Values_Entered,A160+1,"")</f>
        <v>144</v>
      </c>
      <c r="B161" s="220">
        <f t="shared" si="16"/>
        <v>47900</v>
      </c>
      <c r="C161" s="218">
        <f t="shared" si="22"/>
        <v>503162.29651501228</v>
      </c>
      <c r="D161" s="218">
        <f t="shared" si="17"/>
        <v>6221.0853634570531</v>
      </c>
      <c r="E161" s="219">
        <f t="shared" si="18"/>
        <v>0</v>
      </c>
      <c r="F161" s="218">
        <f t="shared" si="19"/>
        <v>6221.0853634570531</v>
      </c>
      <c r="G161" s="218">
        <f t="shared" si="20"/>
        <v>4292.2965601495061</v>
      </c>
      <c r="H161" s="218">
        <f t="shared" si="23"/>
        <v>1928.7888033075469</v>
      </c>
      <c r="I161" s="218">
        <f t="shared" si="21"/>
        <v>498869.99995486275</v>
      </c>
      <c r="J161" s="218">
        <f>SUM($H$18:$H161)</f>
        <v>419706.29229267879</v>
      </c>
    </row>
    <row r="162" spans="1:10" x14ac:dyDescent="0.2">
      <c r="A162" s="221">
        <f>IF(Values_Entered,A161+1,"")</f>
        <v>145</v>
      </c>
      <c r="B162" s="220">
        <f t="shared" si="16"/>
        <v>47928</v>
      </c>
      <c r="C162" s="218">
        <f t="shared" si="22"/>
        <v>498869.99995486275</v>
      </c>
      <c r="D162" s="218">
        <f t="shared" si="17"/>
        <v>6221.0853634570531</v>
      </c>
      <c r="E162" s="219">
        <f t="shared" si="18"/>
        <v>0</v>
      </c>
      <c r="F162" s="218">
        <f t="shared" si="19"/>
        <v>6221.0853634570531</v>
      </c>
      <c r="G162" s="218">
        <f t="shared" si="20"/>
        <v>4308.7503636300789</v>
      </c>
      <c r="H162" s="218">
        <f t="shared" si="23"/>
        <v>1912.3349998269739</v>
      </c>
      <c r="I162" s="218">
        <f t="shared" si="21"/>
        <v>494561.24959123268</v>
      </c>
      <c r="J162" s="218">
        <f>SUM($H$18:$H162)</f>
        <v>421618.62729250576</v>
      </c>
    </row>
    <row r="163" spans="1:10" x14ac:dyDescent="0.2">
      <c r="A163" s="221">
        <f>IF(Values_Entered,A162+1,"")</f>
        <v>146</v>
      </c>
      <c r="B163" s="220">
        <f t="shared" si="16"/>
        <v>47959</v>
      </c>
      <c r="C163" s="218">
        <f t="shared" si="22"/>
        <v>494561.24959123268</v>
      </c>
      <c r="D163" s="218">
        <f t="shared" si="17"/>
        <v>6221.0853634570531</v>
      </c>
      <c r="E163" s="219">
        <f t="shared" si="18"/>
        <v>0</v>
      </c>
      <c r="F163" s="218">
        <f t="shared" si="19"/>
        <v>6221.0853634570531</v>
      </c>
      <c r="G163" s="218">
        <f t="shared" si="20"/>
        <v>4325.2672400239944</v>
      </c>
      <c r="H163" s="218">
        <f t="shared" si="23"/>
        <v>1895.8181234330586</v>
      </c>
      <c r="I163" s="218">
        <f t="shared" si="21"/>
        <v>490235.98235120869</v>
      </c>
      <c r="J163" s="218">
        <f>SUM($H$18:$H163)</f>
        <v>423514.4454159388</v>
      </c>
    </row>
    <row r="164" spans="1:10" x14ac:dyDescent="0.2">
      <c r="A164" s="221">
        <f>IF(Values_Entered,A163+1,"")</f>
        <v>147</v>
      </c>
      <c r="B164" s="220">
        <f t="shared" si="16"/>
        <v>47989</v>
      </c>
      <c r="C164" s="218">
        <f t="shared" si="22"/>
        <v>490235.98235120869</v>
      </c>
      <c r="D164" s="218">
        <f t="shared" si="17"/>
        <v>6221.0853634570531</v>
      </c>
      <c r="E164" s="219">
        <f t="shared" si="18"/>
        <v>0</v>
      </c>
      <c r="F164" s="218">
        <f t="shared" si="19"/>
        <v>6221.0853634570531</v>
      </c>
      <c r="G164" s="218">
        <f t="shared" si="20"/>
        <v>4341.847431110753</v>
      </c>
      <c r="H164" s="218">
        <f t="shared" si="23"/>
        <v>1879.2379323462999</v>
      </c>
      <c r="I164" s="218">
        <f t="shared" si="21"/>
        <v>485894.13492009795</v>
      </c>
      <c r="J164" s="218">
        <f>SUM($H$18:$H164)</f>
        <v>425393.68334828509</v>
      </c>
    </row>
    <row r="165" spans="1:10" x14ac:dyDescent="0.2">
      <c r="A165" s="221">
        <f>IF(Values_Entered,A164+1,"")</f>
        <v>148</v>
      </c>
      <c r="B165" s="220">
        <f t="shared" si="16"/>
        <v>48020</v>
      </c>
      <c r="C165" s="218">
        <f t="shared" si="22"/>
        <v>485894.13492009795</v>
      </c>
      <c r="D165" s="218">
        <f t="shared" si="17"/>
        <v>6221.0853634570531</v>
      </c>
      <c r="E165" s="219">
        <f t="shared" si="18"/>
        <v>0</v>
      </c>
      <c r="F165" s="218">
        <f t="shared" si="19"/>
        <v>6221.0853634570531</v>
      </c>
      <c r="G165" s="218">
        <f t="shared" si="20"/>
        <v>4358.4911795966773</v>
      </c>
      <c r="H165" s="218">
        <f t="shared" si="23"/>
        <v>1862.5941838603756</v>
      </c>
      <c r="I165" s="218">
        <f t="shared" si="21"/>
        <v>481535.64374050125</v>
      </c>
      <c r="J165" s="218">
        <f>SUM($H$18:$H165)</f>
        <v>427256.27753214544</v>
      </c>
    </row>
    <row r="166" spans="1:10" x14ac:dyDescent="0.2">
      <c r="A166" s="221">
        <f>IF(Values_Entered,A165+1,"")</f>
        <v>149</v>
      </c>
      <c r="B166" s="220">
        <f t="shared" si="16"/>
        <v>48050</v>
      </c>
      <c r="C166" s="218">
        <f t="shared" si="22"/>
        <v>481535.64374050125</v>
      </c>
      <c r="D166" s="218">
        <f t="shared" si="17"/>
        <v>6221.0853634570531</v>
      </c>
      <c r="E166" s="219">
        <f t="shared" si="18"/>
        <v>0</v>
      </c>
      <c r="F166" s="218">
        <f t="shared" si="19"/>
        <v>6221.0853634570531</v>
      </c>
      <c r="G166" s="218">
        <f t="shared" si="20"/>
        <v>4375.1987291184651</v>
      </c>
      <c r="H166" s="218">
        <f t="shared" si="23"/>
        <v>1845.886634338588</v>
      </c>
      <c r="I166" s="218">
        <f t="shared" si="21"/>
        <v>477160.44501138281</v>
      </c>
      <c r="J166" s="218">
        <f>SUM($H$18:$H166)</f>
        <v>429102.16416648403</v>
      </c>
    </row>
    <row r="167" spans="1:10" x14ac:dyDescent="0.2">
      <c r="A167" s="221">
        <f>IF(Values_Entered,A166+1,"")</f>
        <v>150</v>
      </c>
      <c r="B167" s="220">
        <f t="shared" si="16"/>
        <v>48081</v>
      </c>
      <c r="C167" s="218">
        <f t="shared" si="22"/>
        <v>477160.44501138281</v>
      </c>
      <c r="D167" s="218">
        <f t="shared" si="17"/>
        <v>6221.0853634570531</v>
      </c>
      <c r="E167" s="219">
        <f t="shared" si="18"/>
        <v>0</v>
      </c>
      <c r="F167" s="218">
        <f t="shared" si="19"/>
        <v>6221.0853634570531</v>
      </c>
      <c r="G167" s="218">
        <f t="shared" si="20"/>
        <v>4391.9703242467522</v>
      </c>
      <c r="H167" s="218">
        <f t="shared" si="23"/>
        <v>1829.1150392103007</v>
      </c>
      <c r="I167" s="218">
        <f t="shared" si="21"/>
        <v>472768.47468713607</v>
      </c>
      <c r="J167" s="218">
        <f>SUM($H$18:$H167)</f>
        <v>430931.27920569433</v>
      </c>
    </row>
    <row r="168" spans="1:10" x14ac:dyDescent="0.2">
      <c r="A168" s="221">
        <f>IF(Values_Entered,A167+1,"")</f>
        <v>151</v>
      </c>
      <c r="B168" s="220">
        <f t="shared" si="16"/>
        <v>48112</v>
      </c>
      <c r="C168" s="218">
        <f t="shared" si="22"/>
        <v>472768.47468713607</v>
      </c>
      <c r="D168" s="218">
        <f t="shared" si="17"/>
        <v>6221.0853634570531</v>
      </c>
      <c r="E168" s="219">
        <f t="shared" si="18"/>
        <v>0</v>
      </c>
      <c r="F168" s="218">
        <f t="shared" si="19"/>
        <v>6221.0853634570531</v>
      </c>
      <c r="G168" s="218">
        <f t="shared" si="20"/>
        <v>4408.8062104896981</v>
      </c>
      <c r="H168" s="218">
        <f t="shared" si="23"/>
        <v>1812.279152967355</v>
      </c>
      <c r="I168" s="218">
        <f t="shared" si="21"/>
        <v>468359.66847664636</v>
      </c>
      <c r="J168" s="218">
        <f>SUM($H$18:$H168)</f>
        <v>432743.55835866166</v>
      </c>
    </row>
    <row r="169" spans="1:10" x14ac:dyDescent="0.2">
      <c r="A169" s="221">
        <f>IF(Values_Entered,A168+1,"")</f>
        <v>152</v>
      </c>
      <c r="B169" s="220">
        <f t="shared" si="16"/>
        <v>48142</v>
      </c>
      <c r="C169" s="218">
        <f t="shared" si="22"/>
        <v>468359.66847664636</v>
      </c>
      <c r="D169" s="218">
        <f t="shared" si="17"/>
        <v>6221.0853634570531</v>
      </c>
      <c r="E169" s="219">
        <f t="shared" si="18"/>
        <v>0</v>
      </c>
      <c r="F169" s="218">
        <f t="shared" si="19"/>
        <v>6221.0853634570531</v>
      </c>
      <c r="G169" s="218">
        <f t="shared" si="20"/>
        <v>4425.7066342965754</v>
      </c>
      <c r="H169" s="218">
        <f t="shared" si="23"/>
        <v>1795.3787291604776</v>
      </c>
      <c r="I169" s="218">
        <f t="shared" si="21"/>
        <v>463933.96184234979</v>
      </c>
      <c r="J169" s="218">
        <f>SUM($H$18:$H169)</f>
        <v>434538.93708782212</v>
      </c>
    </row>
    <row r="170" spans="1:10" x14ac:dyDescent="0.2">
      <c r="A170" s="221">
        <f>IF(Values_Entered,A169+1,"")</f>
        <v>153</v>
      </c>
      <c r="B170" s="220">
        <f t="shared" si="16"/>
        <v>48173</v>
      </c>
      <c r="C170" s="218">
        <f t="shared" si="22"/>
        <v>463933.96184234979</v>
      </c>
      <c r="D170" s="218">
        <f t="shared" si="17"/>
        <v>6221.0853634570531</v>
      </c>
      <c r="E170" s="219">
        <f t="shared" si="18"/>
        <v>0</v>
      </c>
      <c r="F170" s="218">
        <f t="shared" si="19"/>
        <v>6221.0853634570531</v>
      </c>
      <c r="G170" s="218">
        <f t="shared" si="20"/>
        <v>4442.6718430613791</v>
      </c>
      <c r="H170" s="218">
        <f t="shared" si="23"/>
        <v>1778.4135203956741</v>
      </c>
      <c r="I170" s="218">
        <f t="shared" si="21"/>
        <v>459491.28999928839</v>
      </c>
      <c r="J170" s="218">
        <f>SUM($H$18:$H170)</f>
        <v>436317.35060821782</v>
      </c>
    </row>
    <row r="171" spans="1:10" x14ac:dyDescent="0.2">
      <c r="A171" s="221">
        <f>IF(Values_Entered,A170+1,"")</f>
        <v>154</v>
      </c>
      <c r="B171" s="220">
        <f t="shared" si="16"/>
        <v>48203</v>
      </c>
      <c r="C171" s="218">
        <f t="shared" si="22"/>
        <v>459491.28999928839</v>
      </c>
      <c r="D171" s="218">
        <f t="shared" si="17"/>
        <v>6221.0853634570531</v>
      </c>
      <c r="E171" s="219">
        <f t="shared" si="18"/>
        <v>0</v>
      </c>
      <c r="F171" s="218">
        <f t="shared" si="19"/>
        <v>6221.0853634570531</v>
      </c>
      <c r="G171" s="218">
        <f t="shared" si="20"/>
        <v>4459.7020851264479</v>
      </c>
      <c r="H171" s="218">
        <f t="shared" si="23"/>
        <v>1761.3832783306054</v>
      </c>
      <c r="I171" s="218">
        <f t="shared" si="21"/>
        <v>455031.58791416197</v>
      </c>
      <c r="J171" s="218">
        <f>SUM($H$18:$H171)</f>
        <v>438078.73388654843</v>
      </c>
    </row>
    <row r="172" spans="1:10" x14ac:dyDescent="0.2">
      <c r="A172" s="221">
        <f>IF(Values_Entered,A171+1,"")</f>
        <v>155</v>
      </c>
      <c r="B172" s="220">
        <f t="shared" si="16"/>
        <v>48234</v>
      </c>
      <c r="C172" s="218">
        <f t="shared" si="22"/>
        <v>455031.58791416197</v>
      </c>
      <c r="D172" s="218">
        <f t="shared" si="17"/>
        <v>6221.0853634570531</v>
      </c>
      <c r="E172" s="219">
        <f t="shared" si="18"/>
        <v>0</v>
      </c>
      <c r="F172" s="218">
        <f t="shared" si="19"/>
        <v>6221.0853634570531</v>
      </c>
      <c r="G172" s="218">
        <f t="shared" si="20"/>
        <v>4476.7976097860992</v>
      </c>
      <c r="H172" s="218">
        <f t="shared" si="23"/>
        <v>1744.2877536709541</v>
      </c>
      <c r="I172" s="218">
        <f t="shared" si="21"/>
        <v>450554.79030437587</v>
      </c>
      <c r="J172" s="218">
        <f>SUM($H$18:$H172)</f>
        <v>439823.02164021938</v>
      </c>
    </row>
    <row r="173" spans="1:10" x14ac:dyDescent="0.2">
      <c r="A173" s="221">
        <f>IF(Values_Entered,A172+1,"")</f>
        <v>156</v>
      </c>
      <c r="B173" s="220">
        <f t="shared" si="16"/>
        <v>48265</v>
      </c>
      <c r="C173" s="218">
        <f t="shared" si="22"/>
        <v>450554.79030437587</v>
      </c>
      <c r="D173" s="218">
        <f t="shared" si="17"/>
        <v>6221.0853634570531</v>
      </c>
      <c r="E173" s="219">
        <f t="shared" si="18"/>
        <v>0</v>
      </c>
      <c r="F173" s="218">
        <f t="shared" si="19"/>
        <v>6221.0853634570531</v>
      </c>
      <c r="G173" s="218">
        <f t="shared" si="20"/>
        <v>4493.9586672902788</v>
      </c>
      <c r="H173" s="218">
        <f t="shared" si="23"/>
        <v>1727.1266961667741</v>
      </c>
      <c r="I173" s="218">
        <f t="shared" si="21"/>
        <v>446060.83163708559</v>
      </c>
      <c r="J173" s="218">
        <f>SUM($H$18:$H173)</f>
        <v>441550.14833638613</v>
      </c>
    </row>
    <row r="174" spans="1:10" x14ac:dyDescent="0.2">
      <c r="A174" s="221">
        <f>IF(Values_Entered,A173+1,"")</f>
        <v>157</v>
      </c>
      <c r="B174" s="220">
        <f t="shared" si="16"/>
        <v>48294</v>
      </c>
      <c r="C174" s="218">
        <f t="shared" si="22"/>
        <v>446060.83163708559</v>
      </c>
      <c r="D174" s="218">
        <f t="shared" si="17"/>
        <v>6221.0853634570531</v>
      </c>
      <c r="E174" s="219">
        <f t="shared" si="18"/>
        <v>0</v>
      </c>
      <c r="F174" s="218">
        <f t="shared" si="19"/>
        <v>6221.0853634570531</v>
      </c>
      <c r="G174" s="218">
        <f t="shared" si="20"/>
        <v>4511.1855088482253</v>
      </c>
      <c r="H174" s="218">
        <f t="shared" si="23"/>
        <v>1709.899854608828</v>
      </c>
      <c r="I174" s="218">
        <f t="shared" si="21"/>
        <v>441549.64612823736</v>
      </c>
      <c r="J174" s="218">
        <f>SUM($H$18:$H174)</f>
        <v>443260.04819099494</v>
      </c>
    </row>
    <row r="175" spans="1:10" x14ac:dyDescent="0.2">
      <c r="A175" s="221">
        <f>IF(Values_Entered,A174+1,"")</f>
        <v>158</v>
      </c>
      <c r="B175" s="220">
        <f t="shared" si="16"/>
        <v>48325</v>
      </c>
      <c r="C175" s="218">
        <f t="shared" si="22"/>
        <v>441549.64612823736</v>
      </c>
      <c r="D175" s="218">
        <f t="shared" si="17"/>
        <v>6221.0853634570531</v>
      </c>
      <c r="E175" s="219">
        <f t="shared" si="18"/>
        <v>0</v>
      </c>
      <c r="F175" s="218">
        <f t="shared" si="19"/>
        <v>6221.0853634570531</v>
      </c>
      <c r="G175" s="218">
        <f t="shared" si="20"/>
        <v>4528.4783866321432</v>
      </c>
      <c r="H175" s="218">
        <f t="shared" si="23"/>
        <v>1692.6069768249099</v>
      </c>
      <c r="I175" s="218">
        <f t="shared" si="21"/>
        <v>437021.1677416052</v>
      </c>
      <c r="J175" s="218">
        <f>SUM($H$18:$H175)</f>
        <v>444952.65516781987</v>
      </c>
    </row>
    <row r="176" spans="1:10" x14ac:dyDescent="0.2">
      <c r="A176" s="221">
        <f>IF(Values_Entered,A175+1,"")</f>
        <v>159</v>
      </c>
      <c r="B176" s="220">
        <f t="shared" si="16"/>
        <v>48355</v>
      </c>
      <c r="C176" s="218">
        <f t="shared" si="22"/>
        <v>437021.1677416052</v>
      </c>
      <c r="D176" s="218">
        <f t="shared" si="17"/>
        <v>6221.0853634570531</v>
      </c>
      <c r="E176" s="219">
        <f t="shared" si="18"/>
        <v>0</v>
      </c>
      <c r="F176" s="218">
        <f t="shared" si="19"/>
        <v>6221.0853634570531</v>
      </c>
      <c r="G176" s="218">
        <f t="shared" si="20"/>
        <v>4545.8375537808997</v>
      </c>
      <c r="H176" s="218">
        <f t="shared" si="23"/>
        <v>1675.2478096761533</v>
      </c>
      <c r="I176" s="218">
        <f t="shared" si="21"/>
        <v>432475.33018782432</v>
      </c>
      <c r="J176" s="218">
        <f>SUM($H$18:$H176)</f>
        <v>446627.90297749604</v>
      </c>
    </row>
    <row r="177" spans="1:10" x14ac:dyDescent="0.2">
      <c r="A177" s="221">
        <f>IF(Values_Entered,A176+1,"")</f>
        <v>160</v>
      </c>
      <c r="B177" s="220">
        <f t="shared" si="16"/>
        <v>48386</v>
      </c>
      <c r="C177" s="218">
        <f t="shared" si="22"/>
        <v>432475.33018782432</v>
      </c>
      <c r="D177" s="218">
        <f t="shared" si="17"/>
        <v>6221.0853634570531</v>
      </c>
      <c r="E177" s="219">
        <f t="shared" si="18"/>
        <v>0</v>
      </c>
      <c r="F177" s="218">
        <f t="shared" si="19"/>
        <v>6221.0853634570531</v>
      </c>
      <c r="G177" s="218">
        <f t="shared" si="20"/>
        <v>4563.2632644037267</v>
      </c>
      <c r="H177" s="218">
        <f t="shared" si="23"/>
        <v>1657.8220990533266</v>
      </c>
      <c r="I177" s="218">
        <f t="shared" si="21"/>
        <v>427912.06692342059</v>
      </c>
      <c r="J177" s="218">
        <f>SUM($H$18:$H177)</f>
        <v>448285.72507654934</v>
      </c>
    </row>
    <row r="178" spans="1:10" x14ac:dyDescent="0.2">
      <c r="A178" s="221">
        <f>IF(Values_Entered,A177+1,"")</f>
        <v>161</v>
      </c>
      <c r="B178" s="220">
        <f t="shared" si="16"/>
        <v>48416</v>
      </c>
      <c r="C178" s="218">
        <f t="shared" si="22"/>
        <v>427912.06692342059</v>
      </c>
      <c r="D178" s="218">
        <f t="shared" si="17"/>
        <v>6221.0853634570531</v>
      </c>
      <c r="E178" s="219">
        <f t="shared" si="18"/>
        <v>0</v>
      </c>
      <c r="F178" s="218">
        <f t="shared" si="19"/>
        <v>6221.0853634570531</v>
      </c>
      <c r="G178" s="218">
        <f t="shared" si="20"/>
        <v>4580.7557735839409</v>
      </c>
      <c r="H178" s="218">
        <f t="shared" si="23"/>
        <v>1640.3295898731121</v>
      </c>
      <c r="I178" s="218">
        <f t="shared" si="21"/>
        <v>423331.31114983663</v>
      </c>
      <c r="J178" s="218">
        <f>SUM($H$18:$H178)</f>
        <v>449926.05466642242</v>
      </c>
    </row>
    <row r="179" spans="1:10" x14ac:dyDescent="0.2">
      <c r="A179" s="221">
        <f>IF(Values_Entered,A178+1,"")</f>
        <v>162</v>
      </c>
      <c r="B179" s="220">
        <f t="shared" si="16"/>
        <v>48447</v>
      </c>
      <c r="C179" s="218">
        <f t="shared" si="22"/>
        <v>423331.31114983663</v>
      </c>
      <c r="D179" s="218">
        <f t="shared" si="17"/>
        <v>6221.0853634570531</v>
      </c>
      <c r="E179" s="219">
        <f t="shared" si="18"/>
        <v>0</v>
      </c>
      <c r="F179" s="218">
        <f t="shared" si="19"/>
        <v>6221.0853634570531</v>
      </c>
      <c r="G179" s="218">
        <f t="shared" si="20"/>
        <v>4598.315337382679</v>
      </c>
      <c r="H179" s="218">
        <f t="shared" si="23"/>
        <v>1622.7700260743738</v>
      </c>
      <c r="I179" s="218">
        <f t="shared" si="21"/>
        <v>418732.99581245397</v>
      </c>
      <c r="J179" s="218">
        <f>SUM($H$18:$H179)</f>
        <v>451548.8246924968</v>
      </c>
    </row>
    <row r="180" spans="1:10" x14ac:dyDescent="0.2">
      <c r="A180" s="221">
        <f>IF(Values_Entered,A179+1,"")</f>
        <v>163</v>
      </c>
      <c r="B180" s="220">
        <f t="shared" si="16"/>
        <v>48478</v>
      </c>
      <c r="C180" s="218">
        <f t="shared" si="22"/>
        <v>418732.99581245397</v>
      </c>
      <c r="D180" s="218">
        <f t="shared" si="17"/>
        <v>6221.0853634570531</v>
      </c>
      <c r="E180" s="219">
        <f t="shared" si="18"/>
        <v>0</v>
      </c>
      <c r="F180" s="218">
        <f t="shared" si="19"/>
        <v>6221.0853634570531</v>
      </c>
      <c r="G180" s="218">
        <f t="shared" si="20"/>
        <v>4615.9422128426459</v>
      </c>
      <c r="H180" s="218">
        <f t="shared" si="23"/>
        <v>1605.143150614407</v>
      </c>
      <c r="I180" s="218">
        <f t="shared" si="21"/>
        <v>414117.05359961133</v>
      </c>
      <c r="J180" s="218">
        <f>SUM($H$18:$H180)</f>
        <v>453153.9678431112</v>
      </c>
    </row>
    <row r="181" spans="1:10" x14ac:dyDescent="0.2">
      <c r="A181" s="221">
        <f>IF(Values_Entered,A180+1,"")</f>
        <v>164</v>
      </c>
      <c r="B181" s="220">
        <f t="shared" si="16"/>
        <v>48508</v>
      </c>
      <c r="C181" s="218">
        <f t="shared" si="22"/>
        <v>414117.05359961133</v>
      </c>
      <c r="D181" s="218">
        <f t="shared" si="17"/>
        <v>6221.0853634570531</v>
      </c>
      <c r="E181" s="219">
        <f t="shared" si="18"/>
        <v>0</v>
      </c>
      <c r="F181" s="218">
        <f t="shared" si="19"/>
        <v>6221.0853634570531</v>
      </c>
      <c r="G181" s="218">
        <f t="shared" si="20"/>
        <v>4633.6366579918767</v>
      </c>
      <c r="H181" s="218">
        <f t="shared" si="23"/>
        <v>1587.4487054651765</v>
      </c>
      <c r="I181" s="218">
        <f t="shared" si="21"/>
        <v>409483.41694161948</v>
      </c>
      <c r="J181" s="218">
        <f>SUM($H$18:$H181)</f>
        <v>454741.41654857638</v>
      </c>
    </row>
    <row r="182" spans="1:10" x14ac:dyDescent="0.2">
      <c r="A182" s="221">
        <f>IF(Values_Entered,A181+1,"")</f>
        <v>165</v>
      </c>
      <c r="B182" s="220">
        <f t="shared" si="16"/>
        <v>48539</v>
      </c>
      <c r="C182" s="218">
        <f t="shared" si="22"/>
        <v>409483.41694161948</v>
      </c>
      <c r="D182" s="218">
        <f t="shared" si="17"/>
        <v>6221.0853634570531</v>
      </c>
      <c r="E182" s="219">
        <f t="shared" si="18"/>
        <v>0</v>
      </c>
      <c r="F182" s="218">
        <f t="shared" si="19"/>
        <v>6221.0853634570531</v>
      </c>
      <c r="G182" s="218">
        <f t="shared" si="20"/>
        <v>4651.3989318475114</v>
      </c>
      <c r="H182" s="218">
        <f t="shared" si="23"/>
        <v>1569.6864316095414</v>
      </c>
      <c r="I182" s="218">
        <f t="shared" si="21"/>
        <v>404832.01800977194</v>
      </c>
      <c r="J182" s="218">
        <f>SUM($H$18:$H182)</f>
        <v>456311.10298018594</v>
      </c>
    </row>
    <row r="183" spans="1:10" x14ac:dyDescent="0.2">
      <c r="A183" s="221">
        <f>IF(Values_Entered,A182+1,"")</f>
        <v>166</v>
      </c>
      <c r="B183" s="220">
        <f t="shared" si="16"/>
        <v>48569</v>
      </c>
      <c r="C183" s="218">
        <f t="shared" si="22"/>
        <v>404832.01800977194</v>
      </c>
      <c r="D183" s="218">
        <f t="shared" si="17"/>
        <v>6221.0853634570531</v>
      </c>
      <c r="E183" s="219">
        <f t="shared" si="18"/>
        <v>0</v>
      </c>
      <c r="F183" s="218">
        <f t="shared" si="19"/>
        <v>6221.0853634570531</v>
      </c>
      <c r="G183" s="218">
        <f t="shared" si="20"/>
        <v>4669.2292944195942</v>
      </c>
      <c r="H183" s="218">
        <f t="shared" si="23"/>
        <v>1551.8560690374591</v>
      </c>
      <c r="I183" s="218">
        <f t="shared" si="21"/>
        <v>400162.78871535236</v>
      </c>
      <c r="J183" s="218">
        <f>SUM($H$18:$H183)</f>
        <v>457862.9590492234</v>
      </c>
    </row>
    <row r="184" spans="1:10" x14ac:dyDescent="0.2">
      <c r="A184" s="221">
        <f>IF(Values_Entered,A183+1,"")</f>
        <v>167</v>
      </c>
      <c r="B184" s="220">
        <f t="shared" si="16"/>
        <v>48600</v>
      </c>
      <c r="C184" s="218">
        <f t="shared" si="22"/>
        <v>400162.78871535236</v>
      </c>
      <c r="D184" s="218">
        <f t="shared" si="17"/>
        <v>6221.0853634570531</v>
      </c>
      <c r="E184" s="219">
        <f t="shared" si="18"/>
        <v>0</v>
      </c>
      <c r="F184" s="218">
        <f t="shared" si="19"/>
        <v>6221.0853634570531</v>
      </c>
      <c r="G184" s="218">
        <f t="shared" si="20"/>
        <v>4687.1280067148691</v>
      </c>
      <c r="H184" s="218">
        <f t="shared" si="23"/>
        <v>1533.9573567421839</v>
      </c>
      <c r="I184" s="218">
        <f t="shared" si="21"/>
        <v>395475.6607086375</v>
      </c>
      <c r="J184" s="218">
        <f>SUM($H$18:$H184)</f>
        <v>459396.91640596557</v>
      </c>
    </row>
    <row r="185" spans="1:10" x14ac:dyDescent="0.2">
      <c r="A185" s="221">
        <f>IF(Values_Entered,A184+1,"")</f>
        <v>168</v>
      </c>
      <c r="B185" s="220">
        <f t="shared" si="16"/>
        <v>48631</v>
      </c>
      <c r="C185" s="218">
        <f t="shared" si="22"/>
        <v>395475.6607086375</v>
      </c>
      <c r="D185" s="218">
        <f t="shared" si="17"/>
        <v>6221.0853634570531</v>
      </c>
      <c r="E185" s="219">
        <f t="shared" si="18"/>
        <v>0</v>
      </c>
      <c r="F185" s="218">
        <f t="shared" si="19"/>
        <v>6221.0853634570531</v>
      </c>
      <c r="G185" s="218">
        <f t="shared" si="20"/>
        <v>4705.0953307406089</v>
      </c>
      <c r="H185" s="218">
        <f t="shared" si="23"/>
        <v>1515.9900327164439</v>
      </c>
      <c r="I185" s="218">
        <f t="shared" si="21"/>
        <v>390770.56537789688</v>
      </c>
      <c r="J185" s="218">
        <f>SUM($H$18:$H185)</f>
        <v>460912.906438682</v>
      </c>
    </row>
    <row r="186" spans="1:10" x14ac:dyDescent="0.2">
      <c r="A186" s="221">
        <f>IF(Values_Entered,A185+1,"")</f>
        <v>169</v>
      </c>
      <c r="B186" s="220">
        <f t="shared" si="16"/>
        <v>48659</v>
      </c>
      <c r="C186" s="218">
        <f t="shared" si="22"/>
        <v>390770.56537789688</v>
      </c>
      <c r="D186" s="218">
        <f t="shared" si="17"/>
        <v>6221.0853634570531</v>
      </c>
      <c r="E186" s="219">
        <f t="shared" si="18"/>
        <v>0</v>
      </c>
      <c r="F186" s="218">
        <f t="shared" si="19"/>
        <v>6221.0853634570531</v>
      </c>
      <c r="G186" s="218">
        <f t="shared" si="20"/>
        <v>4723.1315295084487</v>
      </c>
      <c r="H186" s="218">
        <f t="shared" si="23"/>
        <v>1497.9538339486046</v>
      </c>
      <c r="I186" s="218">
        <f t="shared" si="21"/>
        <v>386047.43384838843</v>
      </c>
      <c r="J186" s="218">
        <f>SUM($H$18:$H186)</f>
        <v>462410.86027263058</v>
      </c>
    </row>
    <row r="187" spans="1:10" x14ac:dyDescent="0.2">
      <c r="A187" s="221">
        <f>IF(Values_Entered,A186+1,"")</f>
        <v>170</v>
      </c>
      <c r="B187" s="220">
        <f t="shared" si="16"/>
        <v>48690</v>
      </c>
      <c r="C187" s="218">
        <f t="shared" si="22"/>
        <v>386047.43384838843</v>
      </c>
      <c r="D187" s="218">
        <f t="shared" si="17"/>
        <v>6221.0853634570531</v>
      </c>
      <c r="E187" s="219">
        <f t="shared" si="18"/>
        <v>0</v>
      </c>
      <c r="F187" s="218">
        <f t="shared" si="19"/>
        <v>6221.0853634570531</v>
      </c>
      <c r="G187" s="218">
        <f t="shared" si="20"/>
        <v>4741.2368670382311</v>
      </c>
      <c r="H187" s="218">
        <f t="shared" si="23"/>
        <v>1479.8484964188222</v>
      </c>
      <c r="I187" s="218">
        <f t="shared" si="21"/>
        <v>381306.19698135019</v>
      </c>
      <c r="J187" s="218">
        <f>SUM($H$18:$H187)</f>
        <v>463890.70876904938</v>
      </c>
    </row>
    <row r="188" spans="1:10" x14ac:dyDescent="0.2">
      <c r="A188" s="221">
        <f>IF(Values_Entered,A187+1,"")</f>
        <v>171</v>
      </c>
      <c r="B188" s="220">
        <f t="shared" si="16"/>
        <v>48720</v>
      </c>
      <c r="C188" s="218">
        <f t="shared" si="22"/>
        <v>381306.19698135019</v>
      </c>
      <c r="D188" s="218">
        <f t="shared" si="17"/>
        <v>6221.0853634570531</v>
      </c>
      <c r="E188" s="219">
        <f t="shared" si="18"/>
        <v>0</v>
      </c>
      <c r="F188" s="218">
        <f t="shared" si="19"/>
        <v>6221.0853634570531</v>
      </c>
      <c r="G188" s="218">
        <f t="shared" si="20"/>
        <v>4759.4116083618774</v>
      </c>
      <c r="H188" s="218">
        <f t="shared" si="23"/>
        <v>1461.6737550951757</v>
      </c>
      <c r="I188" s="218">
        <f t="shared" si="21"/>
        <v>376546.78537298832</v>
      </c>
      <c r="J188" s="218">
        <f>SUM($H$18:$H188)</f>
        <v>465352.38252414454</v>
      </c>
    </row>
    <row r="189" spans="1:10" x14ac:dyDescent="0.2">
      <c r="A189" s="221">
        <f>IF(Values_Entered,A188+1,"")</f>
        <v>172</v>
      </c>
      <c r="B189" s="220">
        <f t="shared" si="16"/>
        <v>48751</v>
      </c>
      <c r="C189" s="218">
        <f t="shared" si="22"/>
        <v>376546.78537298832</v>
      </c>
      <c r="D189" s="218">
        <f t="shared" si="17"/>
        <v>6221.0853634570531</v>
      </c>
      <c r="E189" s="219">
        <f t="shared" si="18"/>
        <v>0</v>
      </c>
      <c r="F189" s="218">
        <f t="shared" si="19"/>
        <v>6221.0853634570531</v>
      </c>
      <c r="G189" s="218">
        <f t="shared" si="20"/>
        <v>4777.6560195272641</v>
      </c>
      <c r="H189" s="218">
        <f t="shared" si="23"/>
        <v>1443.4293439297887</v>
      </c>
      <c r="I189" s="218">
        <f t="shared" si="21"/>
        <v>371769.12935346103</v>
      </c>
      <c r="J189" s="218">
        <f>SUM($H$18:$H189)</f>
        <v>466795.81186807435</v>
      </c>
    </row>
    <row r="190" spans="1:10" x14ac:dyDescent="0.2">
      <c r="A190" s="221">
        <f>IF(Values_Entered,A189+1,"")</f>
        <v>173</v>
      </c>
      <c r="B190" s="220">
        <f t="shared" si="16"/>
        <v>48781</v>
      </c>
      <c r="C190" s="218">
        <f t="shared" si="22"/>
        <v>371769.12935346103</v>
      </c>
      <c r="D190" s="218">
        <f t="shared" si="17"/>
        <v>6221.0853634570531</v>
      </c>
      <c r="E190" s="219">
        <f t="shared" si="18"/>
        <v>0</v>
      </c>
      <c r="F190" s="218">
        <f t="shared" si="19"/>
        <v>6221.0853634570531</v>
      </c>
      <c r="G190" s="218">
        <f t="shared" si="20"/>
        <v>4795.970367602119</v>
      </c>
      <c r="H190" s="218">
        <f t="shared" si="23"/>
        <v>1425.114995854934</v>
      </c>
      <c r="I190" s="218">
        <f t="shared" si="21"/>
        <v>366973.1589858589</v>
      </c>
      <c r="J190" s="218">
        <f>SUM($H$18:$H190)</f>
        <v>468220.92686392926</v>
      </c>
    </row>
    <row r="191" spans="1:10" x14ac:dyDescent="0.2">
      <c r="A191" s="221">
        <f>IF(Values_Entered,A190+1,"")</f>
        <v>174</v>
      </c>
      <c r="B191" s="220">
        <f t="shared" si="16"/>
        <v>48812</v>
      </c>
      <c r="C191" s="218">
        <f t="shared" si="22"/>
        <v>366973.1589858589</v>
      </c>
      <c r="D191" s="218">
        <f t="shared" si="17"/>
        <v>6221.0853634570531</v>
      </c>
      <c r="E191" s="219">
        <f t="shared" si="18"/>
        <v>0</v>
      </c>
      <c r="F191" s="218">
        <f t="shared" si="19"/>
        <v>6221.0853634570531</v>
      </c>
      <c r="G191" s="218">
        <f t="shared" si="20"/>
        <v>4814.3549206779271</v>
      </c>
      <c r="H191" s="218">
        <f t="shared" si="23"/>
        <v>1406.7304427791257</v>
      </c>
      <c r="I191" s="218">
        <f t="shared" si="21"/>
        <v>362158.804065181</v>
      </c>
      <c r="J191" s="218">
        <f>SUM($H$18:$H191)</f>
        <v>469627.6573067084</v>
      </c>
    </row>
    <row r="192" spans="1:10" x14ac:dyDescent="0.2">
      <c r="A192" s="221">
        <f>IF(Values_Entered,A191+1,"")</f>
        <v>175</v>
      </c>
      <c r="B192" s="220">
        <f t="shared" si="16"/>
        <v>48843</v>
      </c>
      <c r="C192" s="218">
        <f t="shared" si="22"/>
        <v>362158.804065181</v>
      </c>
      <c r="D192" s="218">
        <f t="shared" si="17"/>
        <v>6221.0853634570531</v>
      </c>
      <c r="E192" s="219">
        <f t="shared" si="18"/>
        <v>0</v>
      </c>
      <c r="F192" s="218">
        <f t="shared" si="19"/>
        <v>6221.0853634570531</v>
      </c>
      <c r="G192" s="218">
        <f t="shared" si="20"/>
        <v>4832.8099478738595</v>
      </c>
      <c r="H192" s="218">
        <f t="shared" si="23"/>
        <v>1388.2754155831938</v>
      </c>
      <c r="I192" s="218">
        <f t="shared" si="21"/>
        <v>357325.99411730713</v>
      </c>
      <c r="J192" s="218">
        <f>SUM($H$18:$H192)</f>
        <v>471015.93272229162</v>
      </c>
    </row>
    <row r="193" spans="1:10" x14ac:dyDescent="0.2">
      <c r="A193" s="221">
        <f>IF(Values_Entered,A192+1,"")</f>
        <v>176</v>
      </c>
      <c r="B193" s="220">
        <f t="shared" si="16"/>
        <v>48873</v>
      </c>
      <c r="C193" s="218">
        <f t="shared" si="22"/>
        <v>357325.99411730713</v>
      </c>
      <c r="D193" s="218">
        <f t="shared" si="17"/>
        <v>6221.0853634570531</v>
      </c>
      <c r="E193" s="219">
        <f t="shared" si="18"/>
        <v>0</v>
      </c>
      <c r="F193" s="218">
        <f t="shared" si="19"/>
        <v>6221.0853634570531</v>
      </c>
      <c r="G193" s="218">
        <f t="shared" si="20"/>
        <v>4851.3357193407091</v>
      </c>
      <c r="H193" s="218">
        <f t="shared" si="23"/>
        <v>1369.7496441163439</v>
      </c>
      <c r="I193" s="218">
        <f t="shared" si="21"/>
        <v>352474.65839796641</v>
      </c>
      <c r="J193" s="218">
        <f>SUM($H$18:$H193)</f>
        <v>472385.68236640794</v>
      </c>
    </row>
    <row r="194" spans="1:10" x14ac:dyDescent="0.2">
      <c r="A194" s="221">
        <f>IF(Values_Entered,A193+1,"")</f>
        <v>177</v>
      </c>
      <c r="B194" s="220">
        <f t="shared" si="16"/>
        <v>48904</v>
      </c>
      <c r="C194" s="218">
        <f t="shared" si="22"/>
        <v>352474.65839796641</v>
      </c>
      <c r="D194" s="218">
        <f t="shared" si="17"/>
        <v>6221.0853634570531</v>
      </c>
      <c r="E194" s="219">
        <f t="shared" si="18"/>
        <v>0</v>
      </c>
      <c r="F194" s="218">
        <f t="shared" si="19"/>
        <v>6221.0853634570531</v>
      </c>
      <c r="G194" s="218">
        <f t="shared" si="20"/>
        <v>4869.9325062648486</v>
      </c>
      <c r="H194" s="218">
        <f t="shared" si="23"/>
        <v>1351.1528571922047</v>
      </c>
      <c r="I194" s="218">
        <f t="shared" si="21"/>
        <v>347604.72589170159</v>
      </c>
      <c r="J194" s="218">
        <f>SUM($H$18:$H194)</f>
        <v>473736.83522360015</v>
      </c>
    </row>
    <row r="195" spans="1:10" x14ac:dyDescent="0.2">
      <c r="A195" s="221">
        <f>IF(Values_Entered,A194+1,"")</f>
        <v>178</v>
      </c>
      <c r="B195" s="220">
        <f t="shared" si="16"/>
        <v>48934</v>
      </c>
      <c r="C195" s="218">
        <f t="shared" si="22"/>
        <v>347604.72589170159</v>
      </c>
      <c r="D195" s="218">
        <f t="shared" si="17"/>
        <v>6221.0853634570531</v>
      </c>
      <c r="E195" s="219">
        <f t="shared" si="18"/>
        <v>0</v>
      </c>
      <c r="F195" s="218">
        <f t="shared" si="19"/>
        <v>6221.0853634570531</v>
      </c>
      <c r="G195" s="218">
        <f t="shared" si="20"/>
        <v>4888.6005808721966</v>
      </c>
      <c r="H195" s="218">
        <f t="shared" si="23"/>
        <v>1332.484782584856</v>
      </c>
      <c r="I195" s="218">
        <f t="shared" si="21"/>
        <v>342716.12531082937</v>
      </c>
      <c r="J195" s="218">
        <f>SUM($H$18:$H195)</f>
        <v>475069.32000618504</v>
      </c>
    </row>
    <row r="196" spans="1:10" x14ac:dyDescent="0.2">
      <c r="A196" s="221">
        <f>IF(Values_Entered,A195+1,"")</f>
        <v>179</v>
      </c>
      <c r="B196" s="220">
        <f t="shared" si="16"/>
        <v>48965</v>
      </c>
      <c r="C196" s="218">
        <f t="shared" si="22"/>
        <v>342716.12531082937</v>
      </c>
      <c r="D196" s="218">
        <f t="shared" si="17"/>
        <v>6221.0853634570531</v>
      </c>
      <c r="E196" s="219">
        <f t="shared" si="18"/>
        <v>0</v>
      </c>
      <c r="F196" s="218">
        <f t="shared" si="19"/>
        <v>6221.0853634570531</v>
      </c>
      <c r="G196" s="218">
        <f t="shared" si="20"/>
        <v>4907.3402164322069</v>
      </c>
      <c r="H196" s="218">
        <f t="shared" si="23"/>
        <v>1313.7451470248459</v>
      </c>
      <c r="I196" s="218">
        <f t="shared" si="21"/>
        <v>337808.78509439714</v>
      </c>
      <c r="J196" s="218">
        <f>SUM($H$18:$H196)</f>
        <v>476383.0651532099</v>
      </c>
    </row>
    <row r="197" spans="1:10" x14ac:dyDescent="0.2">
      <c r="A197" s="221">
        <f>IF(Values_Entered,A196+1,"")</f>
        <v>180</v>
      </c>
      <c r="B197" s="220">
        <f t="shared" si="16"/>
        <v>48996</v>
      </c>
      <c r="C197" s="218">
        <f t="shared" si="22"/>
        <v>337808.78509439714</v>
      </c>
      <c r="D197" s="218">
        <f t="shared" si="17"/>
        <v>6221.0853634570531</v>
      </c>
      <c r="E197" s="219">
        <f t="shared" si="18"/>
        <v>0</v>
      </c>
      <c r="F197" s="218">
        <f t="shared" si="19"/>
        <v>6221.0853634570531</v>
      </c>
      <c r="G197" s="218">
        <f t="shared" si="20"/>
        <v>4926.151687261864</v>
      </c>
      <c r="H197" s="218">
        <f t="shared" si="23"/>
        <v>1294.933676195189</v>
      </c>
      <c r="I197" s="218">
        <f t="shared" si="21"/>
        <v>332882.63340713526</v>
      </c>
      <c r="J197" s="218">
        <f>SUM($H$18:$H197)</f>
        <v>477677.99882940511</v>
      </c>
    </row>
    <row r="198" spans="1:10" x14ac:dyDescent="0.2">
      <c r="A198" s="221">
        <f>IF(Values_Entered,A197+1,"")</f>
        <v>181</v>
      </c>
      <c r="B198" s="220">
        <f t="shared" si="16"/>
        <v>49024</v>
      </c>
      <c r="C198" s="218">
        <f t="shared" si="22"/>
        <v>332882.63340713526</v>
      </c>
      <c r="D198" s="218">
        <f t="shared" si="17"/>
        <v>6221.0853634570531</v>
      </c>
      <c r="E198" s="219">
        <f t="shared" si="18"/>
        <v>0</v>
      </c>
      <c r="F198" s="218">
        <f t="shared" si="19"/>
        <v>6221.0853634570531</v>
      </c>
      <c r="G198" s="218">
        <f t="shared" si="20"/>
        <v>4945.0352687297009</v>
      </c>
      <c r="H198" s="218">
        <f t="shared" si="23"/>
        <v>1276.050094727352</v>
      </c>
      <c r="I198" s="218">
        <f t="shared" si="21"/>
        <v>327937.59813840553</v>
      </c>
      <c r="J198" s="218">
        <f>SUM($H$18:$H198)</f>
        <v>478954.04892413248</v>
      </c>
    </row>
    <row r="199" spans="1:10" x14ac:dyDescent="0.2">
      <c r="A199" s="221">
        <f>IF(Values_Entered,A198+1,"")</f>
        <v>182</v>
      </c>
      <c r="B199" s="220">
        <f t="shared" si="16"/>
        <v>49055</v>
      </c>
      <c r="C199" s="218">
        <f t="shared" si="22"/>
        <v>327937.59813840553</v>
      </c>
      <c r="D199" s="218">
        <f t="shared" si="17"/>
        <v>6221.0853634570531</v>
      </c>
      <c r="E199" s="219">
        <f t="shared" si="18"/>
        <v>0</v>
      </c>
      <c r="F199" s="218">
        <f t="shared" si="19"/>
        <v>6221.0853634570531</v>
      </c>
      <c r="G199" s="218">
        <f t="shared" si="20"/>
        <v>4963.9912372598319</v>
      </c>
      <c r="H199" s="218">
        <f t="shared" si="23"/>
        <v>1257.0941261972212</v>
      </c>
      <c r="I199" s="218">
        <f t="shared" si="21"/>
        <v>322973.60690114571</v>
      </c>
      <c r="J199" s="218">
        <f>SUM($H$18:$H199)</f>
        <v>480211.1430503297</v>
      </c>
    </row>
    <row r="200" spans="1:10" x14ac:dyDescent="0.2">
      <c r="A200" s="221">
        <f>IF(Values_Entered,A199+1,"")</f>
        <v>183</v>
      </c>
      <c r="B200" s="220">
        <f t="shared" si="16"/>
        <v>49085</v>
      </c>
      <c r="C200" s="218">
        <f t="shared" si="22"/>
        <v>322973.60690114571</v>
      </c>
      <c r="D200" s="218">
        <f t="shared" si="17"/>
        <v>6221.0853634570531</v>
      </c>
      <c r="E200" s="219">
        <f t="shared" si="18"/>
        <v>0</v>
      </c>
      <c r="F200" s="218">
        <f t="shared" si="19"/>
        <v>6221.0853634570531</v>
      </c>
      <c r="G200" s="218">
        <f t="shared" si="20"/>
        <v>4983.0198703359947</v>
      </c>
      <c r="H200" s="218">
        <f t="shared" si="23"/>
        <v>1238.0654931210586</v>
      </c>
      <c r="I200" s="218">
        <f t="shared" si="21"/>
        <v>317990.58703080972</v>
      </c>
      <c r="J200" s="218">
        <f>SUM($H$18:$H200)</f>
        <v>481449.20854345075</v>
      </c>
    </row>
    <row r="201" spans="1:10" x14ac:dyDescent="0.2">
      <c r="A201" s="221">
        <f>IF(Values_Entered,A200+1,"")</f>
        <v>184</v>
      </c>
      <c r="B201" s="220">
        <f t="shared" si="16"/>
        <v>49116</v>
      </c>
      <c r="C201" s="218">
        <f t="shared" si="22"/>
        <v>317990.58703080972</v>
      </c>
      <c r="D201" s="218">
        <f t="shared" si="17"/>
        <v>6221.0853634570531</v>
      </c>
      <c r="E201" s="219">
        <f t="shared" si="18"/>
        <v>0</v>
      </c>
      <c r="F201" s="218">
        <f t="shared" si="19"/>
        <v>6221.0853634570531</v>
      </c>
      <c r="G201" s="218">
        <f t="shared" si="20"/>
        <v>5002.1214465056155</v>
      </c>
      <c r="H201" s="218">
        <f t="shared" si="23"/>
        <v>1218.9639169514373</v>
      </c>
      <c r="I201" s="218">
        <f t="shared" si="21"/>
        <v>312988.46558430413</v>
      </c>
      <c r="J201" s="218">
        <f>SUM($H$18:$H201)</f>
        <v>482668.17246040219</v>
      </c>
    </row>
    <row r="202" spans="1:10" x14ac:dyDescent="0.2">
      <c r="A202" s="221">
        <f>IF(Values_Entered,A201+1,"")</f>
        <v>185</v>
      </c>
      <c r="B202" s="220">
        <f t="shared" si="16"/>
        <v>49146</v>
      </c>
      <c r="C202" s="218">
        <f t="shared" si="22"/>
        <v>312988.46558430413</v>
      </c>
      <c r="D202" s="218">
        <f t="shared" si="17"/>
        <v>6221.0853634570531</v>
      </c>
      <c r="E202" s="219">
        <f t="shared" si="18"/>
        <v>0</v>
      </c>
      <c r="F202" s="218">
        <f t="shared" si="19"/>
        <v>6221.0853634570531</v>
      </c>
      <c r="G202" s="218">
        <f t="shared" si="20"/>
        <v>5021.2962453838873</v>
      </c>
      <c r="H202" s="218">
        <f t="shared" si="23"/>
        <v>1199.7891180731658</v>
      </c>
      <c r="I202" s="218">
        <f t="shared" si="21"/>
        <v>307967.16933892021</v>
      </c>
      <c r="J202" s="218">
        <f>SUM($H$18:$H202)</f>
        <v>483867.96157847537</v>
      </c>
    </row>
    <row r="203" spans="1:10" x14ac:dyDescent="0.2">
      <c r="A203" s="221">
        <f>IF(Values_Entered,A202+1,"")</f>
        <v>186</v>
      </c>
      <c r="B203" s="220">
        <f t="shared" si="16"/>
        <v>49177</v>
      </c>
      <c r="C203" s="218">
        <f t="shared" si="22"/>
        <v>307967.16933892021</v>
      </c>
      <c r="D203" s="218">
        <f t="shared" si="17"/>
        <v>6221.0853634570531</v>
      </c>
      <c r="E203" s="219">
        <f t="shared" si="18"/>
        <v>0</v>
      </c>
      <c r="F203" s="218">
        <f t="shared" si="19"/>
        <v>6221.0853634570531</v>
      </c>
      <c r="G203" s="218">
        <f t="shared" si="20"/>
        <v>5040.5445476578589</v>
      </c>
      <c r="H203" s="218">
        <f t="shared" si="23"/>
        <v>1180.540815799194</v>
      </c>
      <c r="I203" s="218">
        <f t="shared" si="21"/>
        <v>302926.62479126238</v>
      </c>
      <c r="J203" s="218">
        <f>SUM($H$18:$H203)</f>
        <v>485048.50239427458</v>
      </c>
    </row>
    <row r="204" spans="1:10" x14ac:dyDescent="0.2">
      <c r="A204" s="221">
        <f>IF(Values_Entered,A203+1,"")</f>
        <v>187</v>
      </c>
      <c r="B204" s="220">
        <f t="shared" si="16"/>
        <v>49208</v>
      </c>
      <c r="C204" s="218">
        <f t="shared" si="22"/>
        <v>302926.62479126238</v>
      </c>
      <c r="D204" s="218">
        <f t="shared" si="17"/>
        <v>6221.0853634570531</v>
      </c>
      <c r="E204" s="219">
        <f t="shared" si="18"/>
        <v>0</v>
      </c>
      <c r="F204" s="218">
        <f t="shared" si="19"/>
        <v>6221.0853634570531</v>
      </c>
      <c r="G204" s="218">
        <f t="shared" si="20"/>
        <v>5059.8666350905478</v>
      </c>
      <c r="H204" s="218">
        <f t="shared" si="23"/>
        <v>1161.2187283665057</v>
      </c>
      <c r="I204" s="218">
        <f t="shared" si="21"/>
        <v>297866.75815617183</v>
      </c>
      <c r="J204" s="218">
        <f>SUM($H$18:$H204)</f>
        <v>486209.72112264106</v>
      </c>
    </row>
    <row r="205" spans="1:10" x14ac:dyDescent="0.2">
      <c r="A205" s="221">
        <f>IF(Values_Entered,A204+1,"")</f>
        <v>188</v>
      </c>
      <c r="B205" s="220">
        <f t="shared" si="16"/>
        <v>49238</v>
      </c>
      <c r="C205" s="218">
        <f t="shared" si="22"/>
        <v>297866.75815617183</v>
      </c>
      <c r="D205" s="218">
        <f t="shared" si="17"/>
        <v>6221.0853634570531</v>
      </c>
      <c r="E205" s="219">
        <f t="shared" si="18"/>
        <v>0</v>
      </c>
      <c r="F205" s="218">
        <f t="shared" si="19"/>
        <v>6221.0853634570531</v>
      </c>
      <c r="G205" s="218">
        <f t="shared" si="20"/>
        <v>5079.2627905250611</v>
      </c>
      <c r="H205" s="218">
        <f t="shared" si="23"/>
        <v>1141.822572931992</v>
      </c>
      <c r="I205" s="218">
        <f t="shared" si="21"/>
        <v>292787.49536564678</v>
      </c>
      <c r="J205" s="218">
        <f>SUM($H$18:$H205)</f>
        <v>487351.54369557305</v>
      </c>
    </row>
    <row r="206" spans="1:10" x14ac:dyDescent="0.2">
      <c r="A206" s="221">
        <f>IF(Values_Entered,A205+1,"")</f>
        <v>189</v>
      </c>
      <c r="B206" s="220">
        <f t="shared" si="16"/>
        <v>49269</v>
      </c>
      <c r="C206" s="218">
        <f t="shared" si="22"/>
        <v>292787.49536564678</v>
      </c>
      <c r="D206" s="218">
        <f t="shared" si="17"/>
        <v>6221.0853634570531</v>
      </c>
      <c r="E206" s="219">
        <f t="shared" si="18"/>
        <v>0</v>
      </c>
      <c r="F206" s="218">
        <f t="shared" si="19"/>
        <v>6221.0853634570531</v>
      </c>
      <c r="G206" s="218">
        <f t="shared" si="20"/>
        <v>5098.7332978887407</v>
      </c>
      <c r="H206" s="218">
        <f t="shared" si="23"/>
        <v>1122.3520655683126</v>
      </c>
      <c r="I206" s="218">
        <f t="shared" si="21"/>
        <v>287688.76206775807</v>
      </c>
      <c r="J206" s="218">
        <f>SUM($H$18:$H206)</f>
        <v>488473.89576114138</v>
      </c>
    </row>
    <row r="207" spans="1:10" x14ac:dyDescent="0.2">
      <c r="A207" s="221">
        <f>IF(Values_Entered,A206+1,"")</f>
        <v>190</v>
      </c>
      <c r="B207" s="220">
        <f t="shared" si="16"/>
        <v>49299</v>
      </c>
      <c r="C207" s="218">
        <f t="shared" si="22"/>
        <v>287688.76206775807</v>
      </c>
      <c r="D207" s="218">
        <f t="shared" si="17"/>
        <v>6221.0853634570531</v>
      </c>
      <c r="E207" s="219">
        <f t="shared" si="18"/>
        <v>0</v>
      </c>
      <c r="F207" s="218">
        <f t="shared" si="19"/>
        <v>6221.0853634570531</v>
      </c>
      <c r="G207" s="218">
        <f t="shared" si="20"/>
        <v>5118.2784421973138</v>
      </c>
      <c r="H207" s="218">
        <f t="shared" si="23"/>
        <v>1102.8069212597393</v>
      </c>
      <c r="I207" s="218">
        <f t="shared" si="21"/>
        <v>282570.48362556077</v>
      </c>
      <c r="J207" s="218">
        <f>SUM($H$18:$H207)</f>
        <v>489576.70268240111</v>
      </c>
    </row>
    <row r="208" spans="1:10" x14ac:dyDescent="0.2">
      <c r="A208" s="221">
        <f>IF(Values_Entered,A207+1,"")</f>
        <v>191</v>
      </c>
      <c r="B208" s="220">
        <f t="shared" si="16"/>
        <v>49330</v>
      </c>
      <c r="C208" s="218">
        <f t="shared" si="22"/>
        <v>282570.48362556077</v>
      </c>
      <c r="D208" s="218">
        <f t="shared" si="17"/>
        <v>6221.0853634570531</v>
      </c>
      <c r="E208" s="219">
        <f t="shared" si="18"/>
        <v>0</v>
      </c>
      <c r="F208" s="218">
        <f t="shared" si="19"/>
        <v>6221.0853634570531</v>
      </c>
      <c r="G208" s="218">
        <f t="shared" si="20"/>
        <v>5137.8985095590706</v>
      </c>
      <c r="H208" s="218">
        <f t="shared" si="23"/>
        <v>1083.1868538979829</v>
      </c>
      <c r="I208" s="218">
        <f t="shared" si="21"/>
        <v>277432.58511600172</v>
      </c>
      <c r="J208" s="218">
        <f>SUM($H$18:$H208)</f>
        <v>490659.8895362991</v>
      </c>
    </row>
    <row r="209" spans="1:10" x14ac:dyDescent="0.2">
      <c r="A209" s="221">
        <f>IF(Values_Entered,A208+1,"")</f>
        <v>192</v>
      </c>
      <c r="B209" s="220">
        <f t="shared" si="16"/>
        <v>49361</v>
      </c>
      <c r="C209" s="218">
        <f t="shared" si="22"/>
        <v>277432.58511600172</v>
      </c>
      <c r="D209" s="218">
        <f t="shared" si="17"/>
        <v>6221.0853634570531</v>
      </c>
      <c r="E209" s="219">
        <f t="shared" si="18"/>
        <v>0</v>
      </c>
      <c r="F209" s="218">
        <f t="shared" si="19"/>
        <v>6221.0853634570531</v>
      </c>
      <c r="G209" s="218">
        <f t="shared" si="20"/>
        <v>5157.5937871790466</v>
      </c>
      <c r="H209" s="218">
        <f t="shared" si="23"/>
        <v>1063.4915762780065</v>
      </c>
      <c r="I209" s="218">
        <f t="shared" si="21"/>
        <v>272274.99132882268</v>
      </c>
      <c r="J209" s="218">
        <f>SUM($H$18:$H209)</f>
        <v>491723.3811125771</v>
      </c>
    </row>
    <row r="210" spans="1:10" x14ac:dyDescent="0.2">
      <c r="A210" s="221">
        <f>IF(Values_Entered,A209+1,"")</f>
        <v>193</v>
      </c>
      <c r="B210" s="220">
        <f t="shared" ref="B210:B273" si="24">IF(Pay_Num&lt;&gt;"",DATE(YEAR(Loan_Start),MONTH(Loan_Start)+(Pay_Num)*12/Num_Pmt_Per_Year,DAY(Loan_Start)),"")</f>
        <v>49389</v>
      </c>
      <c r="C210" s="218">
        <f t="shared" si="22"/>
        <v>272274.99132882268</v>
      </c>
      <c r="D210" s="218">
        <f t="shared" ref="D210:D273" si="25">IF(Pay_Num&lt;&gt;"",Scheduled_Monthly_Payment,"")</f>
        <v>6221.0853634570531</v>
      </c>
      <c r="E210" s="219">
        <f t="shared" ref="E210:E273" si="26">IF(AND(Pay_Num&lt;&gt;"",Sched_Pay+Scheduled_Extra_Payments&lt;Beg_Bal),Scheduled_Extra_Payments,IF(AND(Pay_Num&lt;&gt;"",Beg_Bal-Sched_Pay&gt;0),Beg_Bal-Sched_Pay,IF(Pay_Num&lt;&gt;"",0,"")))</f>
        <v>0</v>
      </c>
      <c r="F210" s="218">
        <f t="shared" ref="F210:F273" si="27">IF(AND(Pay_Num&lt;&gt;"",Sched_Pay+Extra_Pay&lt;Beg_Bal),Sched_Pay+Extra_Pay,IF(Pay_Num&lt;&gt;"",Beg_Bal,""))</f>
        <v>6221.0853634570531</v>
      </c>
      <c r="G210" s="218">
        <f t="shared" ref="G210:G273" si="28">IF(Pay_Num&lt;&gt;"",Total_Pay-Int,"")</f>
        <v>5177.3645633632332</v>
      </c>
      <c r="H210" s="218">
        <f t="shared" si="23"/>
        <v>1043.7208000938201</v>
      </c>
      <c r="I210" s="218">
        <f t="shared" ref="I210:I273" si="29">IF(AND(Pay_Num&lt;&gt;"",Sched_Pay+Extra_Pay&lt;Beg_Bal),Beg_Bal-Princ,IF(Pay_Num&lt;&gt;"",0,""))</f>
        <v>267097.62676545943</v>
      </c>
      <c r="J210" s="218">
        <f>SUM($H$18:$H210)</f>
        <v>492767.10191267094</v>
      </c>
    </row>
    <row r="211" spans="1:10" x14ac:dyDescent="0.2">
      <c r="A211" s="221">
        <f>IF(Values_Entered,A210+1,"")</f>
        <v>194</v>
      </c>
      <c r="B211" s="220">
        <f t="shared" si="24"/>
        <v>49420</v>
      </c>
      <c r="C211" s="218">
        <f t="shared" ref="C211:C274" si="30">IF(Pay_Num&lt;&gt;"",I210,"")</f>
        <v>267097.62676545943</v>
      </c>
      <c r="D211" s="218">
        <f t="shared" si="25"/>
        <v>6221.0853634570531</v>
      </c>
      <c r="E211" s="219">
        <f t="shared" si="26"/>
        <v>0</v>
      </c>
      <c r="F211" s="218">
        <f t="shared" si="27"/>
        <v>6221.0853634570531</v>
      </c>
      <c r="G211" s="218">
        <f t="shared" si="28"/>
        <v>5197.2111275227917</v>
      </c>
      <c r="H211" s="218">
        <f t="shared" ref="H211:H274" si="31">IF(Pay_Num&lt;&gt;"",Beg_Bal*Interest_Rate/Num_Pmt_Per_Year,"")</f>
        <v>1023.874235934261</v>
      </c>
      <c r="I211" s="218">
        <f t="shared" si="29"/>
        <v>261900.41563793665</v>
      </c>
      <c r="J211" s="218">
        <f>SUM($H$18:$H211)</f>
        <v>493790.97614860523</v>
      </c>
    </row>
    <row r="212" spans="1:10" x14ac:dyDescent="0.2">
      <c r="A212" s="221">
        <f>IF(Values_Entered,A211+1,"")</f>
        <v>195</v>
      </c>
      <c r="B212" s="220">
        <f t="shared" si="24"/>
        <v>49450</v>
      </c>
      <c r="C212" s="218">
        <f t="shared" si="30"/>
        <v>261900.41563793665</v>
      </c>
      <c r="D212" s="218">
        <f t="shared" si="25"/>
        <v>6221.0853634570531</v>
      </c>
      <c r="E212" s="219">
        <f t="shared" si="26"/>
        <v>0</v>
      </c>
      <c r="F212" s="218">
        <f t="shared" si="27"/>
        <v>6221.0853634570531</v>
      </c>
      <c r="G212" s="218">
        <f t="shared" si="28"/>
        <v>5217.1337701782959</v>
      </c>
      <c r="H212" s="218">
        <f t="shared" si="31"/>
        <v>1003.9515932787572</v>
      </c>
      <c r="I212" s="218">
        <f t="shared" si="29"/>
        <v>256683.28186775834</v>
      </c>
      <c r="J212" s="218">
        <f>SUM($H$18:$H212)</f>
        <v>494794.92774188396</v>
      </c>
    </row>
    <row r="213" spans="1:10" x14ac:dyDescent="0.2">
      <c r="A213" s="221">
        <f>IF(Values_Entered,A212+1,"")</f>
        <v>196</v>
      </c>
      <c r="B213" s="220">
        <f t="shared" si="24"/>
        <v>49481</v>
      </c>
      <c r="C213" s="218">
        <f t="shared" si="30"/>
        <v>256683.28186775834</v>
      </c>
      <c r="D213" s="218">
        <f t="shared" si="25"/>
        <v>6221.0853634570531</v>
      </c>
      <c r="E213" s="219">
        <f t="shared" si="26"/>
        <v>0</v>
      </c>
      <c r="F213" s="218">
        <f t="shared" si="27"/>
        <v>6221.0853634570531</v>
      </c>
      <c r="G213" s="218">
        <f t="shared" si="28"/>
        <v>5237.1327829639795</v>
      </c>
      <c r="H213" s="218">
        <f t="shared" si="31"/>
        <v>983.95258049307358</v>
      </c>
      <c r="I213" s="218">
        <f t="shared" si="29"/>
        <v>251446.14908479436</v>
      </c>
      <c r="J213" s="218">
        <f>SUM($H$18:$H213)</f>
        <v>495778.88032237702</v>
      </c>
    </row>
    <row r="214" spans="1:10" x14ac:dyDescent="0.2">
      <c r="A214" s="221">
        <f>IF(Values_Entered,A213+1,"")</f>
        <v>197</v>
      </c>
      <c r="B214" s="220">
        <f t="shared" si="24"/>
        <v>49511</v>
      </c>
      <c r="C214" s="218">
        <f t="shared" si="30"/>
        <v>251446.14908479436</v>
      </c>
      <c r="D214" s="218">
        <f t="shared" si="25"/>
        <v>6221.0853634570531</v>
      </c>
      <c r="E214" s="219">
        <f t="shared" si="26"/>
        <v>0</v>
      </c>
      <c r="F214" s="218">
        <f t="shared" si="27"/>
        <v>6221.0853634570531</v>
      </c>
      <c r="G214" s="218">
        <f t="shared" si="28"/>
        <v>5257.2084586320079</v>
      </c>
      <c r="H214" s="218">
        <f t="shared" si="31"/>
        <v>963.87690482504502</v>
      </c>
      <c r="I214" s="218">
        <f t="shared" si="29"/>
        <v>246188.94062616237</v>
      </c>
      <c r="J214" s="218">
        <f>SUM($H$18:$H214)</f>
        <v>496742.75722720206</v>
      </c>
    </row>
    <row r="215" spans="1:10" x14ac:dyDescent="0.2">
      <c r="A215" s="221">
        <f>IF(Values_Entered,A214+1,"")</f>
        <v>198</v>
      </c>
      <c r="B215" s="220">
        <f t="shared" si="24"/>
        <v>49542</v>
      </c>
      <c r="C215" s="218">
        <f t="shared" si="30"/>
        <v>246188.94062616237</v>
      </c>
      <c r="D215" s="218">
        <f t="shared" si="25"/>
        <v>6221.0853634570531</v>
      </c>
      <c r="E215" s="219">
        <f t="shared" si="26"/>
        <v>0</v>
      </c>
      <c r="F215" s="218">
        <f t="shared" si="27"/>
        <v>6221.0853634570531</v>
      </c>
      <c r="G215" s="218">
        <f t="shared" si="28"/>
        <v>5277.3610910567641</v>
      </c>
      <c r="H215" s="218">
        <f t="shared" si="31"/>
        <v>943.72427240028901</v>
      </c>
      <c r="I215" s="218">
        <f t="shared" si="29"/>
        <v>240911.57953510561</v>
      </c>
      <c r="J215" s="218">
        <f>SUM($H$18:$H215)</f>
        <v>497686.48149960238</v>
      </c>
    </row>
    <row r="216" spans="1:10" x14ac:dyDescent="0.2">
      <c r="A216" s="221">
        <f>IF(Values_Entered,A215+1,"")</f>
        <v>199</v>
      </c>
      <c r="B216" s="220">
        <f t="shared" si="24"/>
        <v>49573</v>
      </c>
      <c r="C216" s="218">
        <f t="shared" si="30"/>
        <v>240911.57953510561</v>
      </c>
      <c r="D216" s="218">
        <f t="shared" si="25"/>
        <v>6221.0853634570531</v>
      </c>
      <c r="E216" s="219">
        <f t="shared" si="26"/>
        <v>0</v>
      </c>
      <c r="F216" s="218">
        <f t="shared" si="27"/>
        <v>6221.0853634570531</v>
      </c>
      <c r="G216" s="218">
        <f t="shared" si="28"/>
        <v>5297.5909752391481</v>
      </c>
      <c r="H216" s="218">
        <f t="shared" si="31"/>
        <v>923.49438821790488</v>
      </c>
      <c r="I216" s="218">
        <f t="shared" si="29"/>
        <v>235613.98855986647</v>
      </c>
      <c r="J216" s="218">
        <f>SUM($H$18:$H216)</f>
        <v>498609.9758878203</v>
      </c>
    </row>
    <row r="217" spans="1:10" x14ac:dyDescent="0.2">
      <c r="A217" s="221">
        <f>IF(Values_Entered,A216+1,"")</f>
        <v>200</v>
      </c>
      <c r="B217" s="220">
        <f t="shared" si="24"/>
        <v>49603</v>
      </c>
      <c r="C217" s="218">
        <f t="shared" si="30"/>
        <v>235613.98855986647</v>
      </c>
      <c r="D217" s="218">
        <f t="shared" si="25"/>
        <v>6221.0853634570531</v>
      </c>
      <c r="E217" s="219">
        <f t="shared" si="26"/>
        <v>0</v>
      </c>
      <c r="F217" s="218">
        <f t="shared" si="27"/>
        <v>6221.0853634570531</v>
      </c>
      <c r="G217" s="218">
        <f t="shared" si="28"/>
        <v>5317.8984073108986</v>
      </c>
      <c r="H217" s="218">
        <f t="shared" si="31"/>
        <v>903.18695614615478</v>
      </c>
      <c r="I217" s="218">
        <f t="shared" si="29"/>
        <v>230296.09015255558</v>
      </c>
      <c r="J217" s="218">
        <f>SUM($H$18:$H217)</f>
        <v>499513.16284396645</v>
      </c>
    </row>
    <row r="218" spans="1:10" x14ac:dyDescent="0.2">
      <c r="A218" s="221">
        <f>IF(Values_Entered,A217+1,"")</f>
        <v>201</v>
      </c>
      <c r="B218" s="220">
        <f t="shared" si="24"/>
        <v>49634</v>
      </c>
      <c r="C218" s="218">
        <f t="shared" si="30"/>
        <v>230296.09015255558</v>
      </c>
      <c r="D218" s="218">
        <f t="shared" si="25"/>
        <v>6221.0853634570531</v>
      </c>
      <c r="E218" s="219">
        <f t="shared" si="26"/>
        <v>0</v>
      </c>
      <c r="F218" s="218">
        <f t="shared" si="27"/>
        <v>6221.0853634570531</v>
      </c>
      <c r="G218" s="218">
        <f t="shared" si="28"/>
        <v>5338.2836845389229</v>
      </c>
      <c r="H218" s="218">
        <f t="shared" si="31"/>
        <v>882.80167891812971</v>
      </c>
      <c r="I218" s="218">
        <f t="shared" si="29"/>
        <v>224957.80646801667</v>
      </c>
      <c r="J218" s="218">
        <f>SUM($H$18:$H218)</f>
        <v>500395.96452288458</v>
      </c>
    </row>
    <row r="219" spans="1:10" x14ac:dyDescent="0.2">
      <c r="A219" s="221">
        <f>IF(Values_Entered,A218+1,"")</f>
        <v>202</v>
      </c>
      <c r="B219" s="220">
        <f t="shared" si="24"/>
        <v>49664</v>
      </c>
      <c r="C219" s="218">
        <f t="shared" si="30"/>
        <v>224957.80646801667</v>
      </c>
      <c r="D219" s="218">
        <f t="shared" si="25"/>
        <v>6221.0853634570531</v>
      </c>
      <c r="E219" s="219">
        <f t="shared" si="26"/>
        <v>0</v>
      </c>
      <c r="F219" s="218">
        <f t="shared" si="27"/>
        <v>6221.0853634570531</v>
      </c>
      <c r="G219" s="218">
        <f t="shared" si="28"/>
        <v>5358.7471053296558</v>
      </c>
      <c r="H219" s="218">
        <f t="shared" si="31"/>
        <v>862.33825812739724</v>
      </c>
      <c r="I219" s="218">
        <f t="shared" si="29"/>
        <v>219599.05936268702</v>
      </c>
      <c r="J219" s="218">
        <f>SUM($H$18:$H219)</f>
        <v>501258.30278101197</v>
      </c>
    </row>
    <row r="220" spans="1:10" x14ac:dyDescent="0.2">
      <c r="A220" s="221">
        <f>IF(Values_Entered,A219+1,"")</f>
        <v>203</v>
      </c>
      <c r="B220" s="220">
        <f t="shared" si="24"/>
        <v>49695</v>
      </c>
      <c r="C220" s="218">
        <f t="shared" si="30"/>
        <v>219599.05936268702</v>
      </c>
      <c r="D220" s="218">
        <f t="shared" si="25"/>
        <v>6221.0853634570531</v>
      </c>
      <c r="E220" s="219">
        <f t="shared" si="26"/>
        <v>0</v>
      </c>
      <c r="F220" s="218">
        <f t="shared" si="27"/>
        <v>6221.0853634570531</v>
      </c>
      <c r="G220" s="218">
        <f t="shared" si="28"/>
        <v>5379.2889692334193</v>
      </c>
      <c r="H220" s="218">
        <f t="shared" si="31"/>
        <v>841.79639422363368</v>
      </c>
      <c r="I220" s="218">
        <f t="shared" si="29"/>
        <v>214219.7703934536</v>
      </c>
      <c r="J220" s="218">
        <f>SUM($H$18:$H220)</f>
        <v>502100.09917523561</v>
      </c>
    </row>
    <row r="221" spans="1:10" x14ac:dyDescent="0.2">
      <c r="A221" s="221">
        <f>IF(Values_Entered,A220+1,"")</f>
        <v>204</v>
      </c>
      <c r="B221" s="220">
        <f t="shared" si="24"/>
        <v>49726</v>
      </c>
      <c r="C221" s="218">
        <f t="shared" si="30"/>
        <v>214219.7703934536</v>
      </c>
      <c r="D221" s="218">
        <f t="shared" si="25"/>
        <v>6221.0853634570531</v>
      </c>
      <c r="E221" s="219">
        <f t="shared" si="26"/>
        <v>0</v>
      </c>
      <c r="F221" s="218">
        <f t="shared" si="27"/>
        <v>6221.0853634570531</v>
      </c>
      <c r="G221" s="218">
        <f t="shared" si="28"/>
        <v>5399.909576948814</v>
      </c>
      <c r="H221" s="218">
        <f t="shared" si="31"/>
        <v>821.17578650823873</v>
      </c>
      <c r="I221" s="218">
        <f t="shared" si="29"/>
        <v>208819.86081650478</v>
      </c>
      <c r="J221" s="218">
        <f>SUM($H$18:$H221)</f>
        <v>502921.27496174385</v>
      </c>
    </row>
    <row r="222" spans="1:10" x14ac:dyDescent="0.2">
      <c r="A222" s="221">
        <f>IF(Values_Entered,A221+1,"")</f>
        <v>205</v>
      </c>
      <c r="B222" s="220">
        <f t="shared" si="24"/>
        <v>49755</v>
      </c>
      <c r="C222" s="218">
        <f t="shared" si="30"/>
        <v>208819.86081650478</v>
      </c>
      <c r="D222" s="218">
        <f t="shared" si="25"/>
        <v>6221.0853634570531</v>
      </c>
      <c r="E222" s="219">
        <f t="shared" si="26"/>
        <v>0</v>
      </c>
      <c r="F222" s="218">
        <f t="shared" si="27"/>
        <v>6221.0853634570531</v>
      </c>
      <c r="G222" s="218">
        <f t="shared" si="28"/>
        <v>5420.609230327118</v>
      </c>
      <c r="H222" s="218">
        <f t="shared" si="31"/>
        <v>800.47613312993496</v>
      </c>
      <c r="I222" s="218">
        <f t="shared" si="29"/>
        <v>203399.25158617765</v>
      </c>
      <c r="J222" s="218">
        <f>SUM($H$18:$H222)</f>
        <v>503721.75109487376</v>
      </c>
    </row>
    <row r="223" spans="1:10" x14ac:dyDescent="0.2">
      <c r="A223" s="221">
        <f>IF(Values_Entered,A222+1,"")</f>
        <v>206</v>
      </c>
      <c r="B223" s="220">
        <f t="shared" si="24"/>
        <v>49786</v>
      </c>
      <c r="C223" s="218">
        <f t="shared" si="30"/>
        <v>203399.25158617765</v>
      </c>
      <c r="D223" s="218">
        <f t="shared" si="25"/>
        <v>6221.0853634570531</v>
      </c>
      <c r="E223" s="219">
        <f t="shared" si="26"/>
        <v>0</v>
      </c>
      <c r="F223" s="218">
        <f t="shared" si="27"/>
        <v>6221.0853634570531</v>
      </c>
      <c r="G223" s="218">
        <f t="shared" si="28"/>
        <v>5441.3882323767057</v>
      </c>
      <c r="H223" s="218">
        <f t="shared" si="31"/>
        <v>779.69713108034773</v>
      </c>
      <c r="I223" s="218">
        <f t="shared" si="29"/>
        <v>197957.86335380093</v>
      </c>
      <c r="J223" s="218">
        <f>SUM($H$18:$H223)</f>
        <v>504501.44822595408</v>
      </c>
    </row>
    <row r="224" spans="1:10" x14ac:dyDescent="0.2">
      <c r="A224" s="221">
        <f>IF(Values_Entered,A223+1,"")</f>
        <v>207</v>
      </c>
      <c r="B224" s="220">
        <f t="shared" si="24"/>
        <v>49816</v>
      </c>
      <c r="C224" s="218">
        <f t="shared" si="30"/>
        <v>197957.86335380093</v>
      </c>
      <c r="D224" s="218">
        <f t="shared" si="25"/>
        <v>6221.0853634570531</v>
      </c>
      <c r="E224" s="219">
        <f t="shared" si="26"/>
        <v>0</v>
      </c>
      <c r="F224" s="218">
        <f t="shared" si="27"/>
        <v>6221.0853634570531</v>
      </c>
      <c r="G224" s="218">
        <f t="shared" si="28"/>
        <v>5462.2468872674826</v>
      </c>
      <c r="H224" s="218">
        <f t="shared" si="31"/>
        <v>758.83847618957032</v>
      </c>
      <c r="I224" s="218">
        <f t="shared" si="29"/>
        <v>192495.61646653345</v>
      </c>
      <c r="J224" s="218">
        <f>SUM($H$18:$H224)</f>
        <v>505260.28670214367</v>
      </c>
    </row>
    <row r="225" spans="1:10" x14ac:dyDescent="0.2">
      <c r="A225" s="221">
        <f>IF(Values_Entered,A224+1,"")</f>
        <v>208</v>
      </c>
      <c r="B225" s="220">
        <f t="shared" si="24"/>
        <v>49847</v>
      </c>
      <c r="C225" s="218">
        <f t="shared" si="30"/>
        <v>192495.61646653345</v>
      </c>
      <c r="D225" s="218">
        <f t="shared" si="25"/>
        <v>6221.0853634570531</v>
      </c>
      <c r="E225" s="219">
        <f t="shared" si="26"/>
        <v>0</v>
      </c>
      <c r="F225" s="218">
        <f t="shared" si="27"/>
        <v>6221.0853634570531</v>
      </c>
      <c r="G225" s="218">
        <f t="shared" si="28"/>
        <v>5483.1855003353412</v>
      </c>
      <c r="H225" s="218">
        <f t="shared" si="31"/>
        <v>737.89986312171152</v>
      </c>
      <c r="I225" s="218">
        <f t="shared" si="29"/>
        <v>187012.4309661981</v>
      </c>
      <c r="J225" s="218">
        <f>SUM($H$18:$H225)</f>
        <v>505998.18656526541</v>
      </c>
    </row>
    <row r="226" spans="1:10" x14ac:dyDescent="0.2">
      <c r="A226" s="221">
        <f>IF(Values_Entered,A225+1,"")</f>
        <v>209</v>
      </c>
      <c r="B226" s="220">
        <f t="shared" si="24"/>
        <v>49877</v>
      </c>
      <c r="C226" s="218">
        <f t="shared" si="30"/>
        <v>187012.4309661981</v>
      </c>
      <c r="D226" s="218">
        <f t="shared" si="25"/>
        <v>6221.0853634570531</v>
      </c>
      <c r="E226" s="219">
        <f t="shared" si="26"/>
        <v>0</v>
      </c>
      <c r="F226" s="218">
        <f t="shared" si="27"/>
        <v>6221.0853634570531</v>
      </c>
      <c r="G226" s="218">
        <f t="shared" si="28"/>
        <v>5504.204378086627</v>
      </c>
      <c r="H226" s="218">
        <f t="shared" si="31"/>
        <v>716.88098537042606</v>
      </c>
      <c r="I226" s="218">
        <f t="shared" si="29"/>
        <v>181508.22658811146</v>
      </c>
      <c r="J226" s="218">
        <f>SUM($H$18:$H226)</f>
        <v>506715.06755063584</v>
      </c>
    </row>
    <row r="227" spans="1:10" x14ac:dyDescent="0.2">
      <c r="A227" s="221">
        <f>IF(Values_Entered,A226+1,"")</f>
        <v>210</v>
      </c>
      <c r="B227" s="220">
        <f t="shared" si="24"/>
        <v>49908</v>
      </c>
      <c r="C227" s="218">
        <f t="shared" si="30"/>
        <v>181508.22658811146</v>
      </c>
      <c r="D227" s="218">
        <f t="shared" si="25"/>
        <v>6221.0853634570531</v>
      </c>
      <c r="E227" s="219">
        <f t="shared" si="26"/>
        <v>0</v>
      </c>
      <c r="F227" s="218">
        <f t="shared" si="27"/>
        <v>6221.0853634570531</v>
      </c>
      <c r="G227" s="218">
        <f t="shared" si="28"/>
        <v>5525.3038282026255</v>
      </c>
      <c r="H227" s="218">
        <f t="shared" si="31"/>
        <v>695.78153525442724</v>
      </c>
      <c r="I227" s="218">
        <f t="shared" si="29"/>
        <v>175982.92275990883</v>
      </c>
      <c r="J227" s="218">
        <f>SUM($H$18:$H227)</f>
        <v>507410.84908589028</v>
      </c>
    </row>
    <row r="228" spans="1:10" x14ac:dyDescent="0.2">
      <c r="A228" s="221">
        <f>IF(Values_Entered,A227+1,"")</f>
        <v>211</v>
      </c>
      <c r="B228" s="220">
        <f t="shared" si="24"/>
        <v>49939</v>
      </c>
      <c r="C228" s="218">
        <f t="shared" si="30"/>
        <v>175982.92275990883</v>
      </c>
      <c r="D228" s="218">
        <f t="shared" si="25"/>
        <v>6221.0853634570531</v>
      </c>
      <c r="E228" s="219">
        <f t="shared" si="26"/>
        <v>0</v>
      </c>
      <c r="F228" s="218">
        <f t="shared" si="27"/>
        <v>6221.0853634570531</v>
      </c>
      <c r="G228" s="218">
        <f t="shared" si="28"/>
        <v>5546.4841595440694</v>
      </c>
      <c r="H228" s="218">
        <f t="shared" si="31"/>
        <v>674.60120391298381</v>
      </c>
      <c r="I228" s="218">
        <f t="shared" si="29"/>
        <v>170436.43860036475</v>
      </c>
      <c r="J228" s="218">
        <f>SUM($H$18:$H228)</f>
        <v>508085.45028980327</v>
      </c>
    </row>
    <row r="229" spans="1:10" x14ac:dyDescent="0.2">
      <c r="A229" s="221">
        <f>IF(Values_Entered,A228+1,"")</f>
        <v>212</v>
      </c>
      <c r="B229" s="220">
        <f t="shared" si="24"/>
        <v>49969</v>
      </c>
      <c r="C229" s="218">
        <f t="shared" si="30"/>
        <v>170436.43860036475</v>
      </c>
      <c r="D229" s="218">
        <f t="shared" si="25"/>
        <v>6221.0853634570531</v>
      </c>
      <c r="E229" s="219">
        <f t="shared" si="26"/>
        <v>0</v>
      </c>
      <c r="F229" s="218">
        <f t="shared" si="27"/>
        <v>6221.0853634570531</v>
      </c>
      <c r="G229" s="218">
        <f t="shared" si="28"/>
        <v>5567.7456821556552</v>
      </c>
      <c r="H229" s="218">
        <f t="shared" si="31"/>
        <v>653.33968130139817</v>
      </c>
      <c r="I229" s="218">
        <f t="shared" si="29"/>
        <v>164868.6929182091</v>
      </c>
      <c r="J229" s="218">
        <f>SUM($H$18:$H229)</f>
        <v>508738.78997110465</v>
      </c>
    </row>
    <row r="230" spans="1:10" x14ac:dyDescent="0.2">
      <c r="A230" s="221">
        <f>IF(Values_Entered,A229+1,"")</f>
        <v>213</v>
      </c>
      <c r="B230" s="220">
        <f t="shared" si="24"/>
        <v>50000</v>
      </c>
      <c r="C230" s="218">
        <f t="shared" si="30"/>
        <v>164868.6929182091</v>
      </c>
      <c r="D230" s="218">
        <f t="shared" si="25"/>
        <v>6221.0853634570531</v>
      </c>
      <c r="E230" s="219">
        <f t="shared" si="26"/>
        <v>0</v>
      </c>
      <c r="F230" s="218">
        <f t="shared" si="27"/>
        <v>6221.0853634570531</v>
      </c>
      <c r="G230" s="218">
        <f t="shared" si="28"/>
        <v>5589.0887072705846</v>
      </c>
      <c r="H230" s="218">
        <f t="shared" si="31"/>
        <v>631.99665618646816</v>
      </c>
      <c r="I230" s="218">
        <f t="shared" si="29"/>
        <v>159279.6042109385</v>
      </c>
      <c r="J230" s="218">
        <f>SUM($H$18:$H230)</f>
        <v>509370.78662729112</v>
      </c>
    </row>
    <row r="231" spans="1:10" x14ac:dyDescent="0.2">
      <c r="A231" s="221">
        <f>IF(Values_Entered,A230+1,"")</f>
        <v>214</v>
      </c>
      <c r="B231" s="220">
        <f t="shared" si="24"/>
        <v>50030</v>
      </c>
      <c r="C231" s="218">
        <f t="shared" si="30"/>
        <v>159279.6042109385</v>
      </c>
      <c r="D231" s="218">
        <f t="shared" si="25"/>
        <v>6221.0853634570531</v>
      </c>
      <c r="E231" s="219">
        <f t="shared" si="26"/>
        <v>0</v>
      </c>
      <c r="F231" s="218">
        <f t="shared" si="27"/>
        <v>6221.0853634570531</v>
      </c>
      <c r="G231" s="218">
        <f t="shared" si="28"/>
        <v>5610.5135473151222</v>
      </c>
      <c r="H231" s="218">
        <f t="shared" si="31"/>
        <v>610.57181614193098</v>
      </c>
      <c r="I231" s="218">
        <f t="shared" si="29"/>
        <v>153669.09066362338</v>
      </c>
      <c r="J231" s="218">
        <f>SUM($H$18:$H231)</f>
        <v>509981.35844343307</v>
      </c>
    </row>
    <row r="232" spans="1:10" x14ac:dyDescent="0.2">
      <c r="A232" s="221">
        <f>IF(Values_Entered,A231+1,"")</f>
        <v>215</v>
      </c>
      <c r="B232" s="220">
        <f t="shared" si="24"/>
        <v>50061</v>
      </c>
      <c r="C232" s="218">
        <f t="shared" si="30"/>
        <v>153669.09066362338</v>
      </c>
      <c r="D232" s="218">
        <f t="shared" si="25"/>
        <v>6221.0853634570531</v>
      </c>
      <c r="E232" s="219">
        <f t="shared" si="26"/>
        <v>0</v>
      </c>
      <c r="F232" s="218">
        <f t="shared" si="27"/>
        <v>6221.0853634570531</v>
      </c>
      <c r="G232" s="218">
        <f t="shared" si="28"/>
        <v>5632.0205159131638</v>
      </c>
      <c r="H232" s="218">
        <f t="shared" si="31"/>
        <v>589.06484754388964</v>
      </c>
      <c r="I232" s="218">
        <f t="shared" si="29"/>
        <v>148037.07014771021</v>
      </c>
      <c r="J232" s="218">
        <f>SUM($H$18:$H232)</f>
        <v>510570.42329097696</v>
      </c>
    </row>
    <row r="233" spans="1:10" x14ac:dyDescent="0.2">
      <c r="A233" s="221">
        <f>IF(Values_Entered,A232+1,"")</f>
        <v>216</v>
      </c>
      <c r="B233" s="220">
        <f t="shared" si="24"/>
        <v>50092</v>
      </c>
      <c r="C233" s="218">
        <f t="shared" si="30"/>
        <v>148037.07014771021</v>
      </c>
      <c r="D233" s="218">
        <f t="shared" si="25"/>
        <v>6221.0853634570531</v>
      </c>
      <c r="E233" s="219">
        <f t="shared" si="26"/>
        <v>0</v>
      </c>
      <c r="F233" s="218">
        <f t="shared" si="27"/>
        <v>6221.0853634570531</v>
      </c>
      <c r="G233" s="218">
        <f t="shared" si="28"/>
        <v>5653.6099278908305</v>
      </c>
      <c r="H233" s="218">
        <f t="shared" si="31"/>
        <v>567.47543556622247</v>
      </c>
      <c r="I233" s="218">
        <f t="shared" si="29"/>
        <v>142383.46021981939</v>
      </c>
      <c r="J233" s="218">
        <f>SUM($H$18:$H233)</f>
        <v>511137.89872654318</v>
      </c>
    </row>
    <row r="234" spans="1:10" x14ac:dyDescent="0.2">
      <c r="A234" s="221">
        <f>IF(Values_Entered,A233+1,"")</f>
        <v>217</v>
      </c>
      <c r="B234" s="220">
        <f t="shared" si="24"/>
        <v>50120</v>
      </c>
      <c r="C234" s="218">
        <f t="shared" si="30"/>
        <v>142383.46021981939</v>
      </c>
      <c r="D234" s="218">
        <f t="shared" si="25"/>
        <v>6221.0853634570531</v>
      </c>
      <c r="E234" s="219">
        <f t="shared" si="26"/>
        <v>0</v>
      </c>
      <c r="F234" s="218">
        <f t="shared" si="27"/>
        <v>6221.0853634570531</v>
      </c>
      <c r="G234" s="218">
        <f t="shared" si="28"/>
        <v>5675.2820992810784</v>
      </c>
      <c r="H234" s="218">
        <f t="shared" si="31"/>
        <v>545.80326417597428</v>
      </c>
      <c r="I234" s="218">
        <f t="shared" si="29"/>
        <v>136708.1781205383</v>
      </c>
      <c r="J234" s="218">
        <f>SUM($H$18:$H234)</f>
        <v>511683.70199071913</v>
      </c>
    </row>
    <row r="235" spans="1:10" x14ac:dyDescent="0.2">
      <c r="A235" s="221">
        <f>IF(Values_Entered,A234+1,"")</f>
        <v>218</v>
      </c>
      <c r="B235" s="220">
        <f t="shared" si="24"/>
        <v>50151</v>
      </c>
      <c r="C235" s="218">
        <f t="shared" si="30"/>
        <v>136708.1781205383</v>
      </c>
      <c r="D235" s="218">
        <f t="shared" si="25"/>
        <v>6221.0853634570531</v>
      </c>
      <c r="E235" s="219">
        <f t="shared" si="26"/>
        <v>0</v>
      </c>
      <c r="F235" s="218">
        <f t="shared" si="27"/>
        <v>6221.0853634570531</v>
      </c>
      <c r="G235" s="218">
        <f t="shared" si="28"/>
        <v>5697.0373473283225</v>
      </c>
      <c r="H235" s="218">
        <f t="shared" si="31"/>
        <v>524.04801612873018</v>
      </c>
      <c r="I235" s="218">
        <f t="shared" si="29"/>
        <v>131011.14077320998</v>
      </c>
      <c r="J235" s="218">
        <f>SUM($H$18:$H235)</f>
        <v>512207.75000684784</v>
      </c>
    </row>
    <row r="236" spans="1:10" x14ac:dyDescent="0.2">
      <c r="A236" s="221">
        <f>IF(Values_Entered,A235+1,"")</f>
        <v>219</v>
      </c>
      <c r="B236" s="220">
        <f t="shared" si="24"/>
        <v>50181</v>
      </c>
      <c r="C236" s="218">
        <f t="shared" si="30"/>
        <v>131011.14077320998</v>
      </c>
      <c r="D236" s="218">
        <f t="shared" si="25"/>
        <v>6221.0853634570531</v>
      </c>
      <c r="E236" s="219">
        <f t="shared" si="26"/>
        <v>0</v>
      </c>
      <c r="F236" s="218">
        <f t="shared" si="27"/>
        <v>6221.0853634570531</v>
      </c>
      <c r="G236" s="218">
        <f t="shared" si="28"/>
        <v>5718.8759904930812</v>
      </c>
      <c r="H236" s="218">
        <f t="shared" si="31"/>
        <v>502.20937296397159</v>
      </c>
      <c r="I236" s="218">
        <f t="shared" si="29"/>
        <v>125292.2647827169</v>
      </c>
      <c r="J236" s="218">
        <f>SUM($H$18:$H236)</f>
        <v>512709.95937981183</v>
      </c>
    </row>
    <row r="237" spans="1:10" x14ac:dyDescent="0.2">
      <c r="A237" s="221">
        <f>IF(Values_Entered,A236+1,"")</f>
        <v>220</v>
      </c>
      <c r="B237" s="220">
        <f t="shared" si="24"/>
        <v>50212</v>
      </c>
      <c r="C237" s="218">
        <f t="shared" si="30"/>
        <v>125292.2647827169</v>
      </c>
      <c r="D237" s="218">
        <f t="shared" si="25"/>
        <v>6221.0853634570531</v>
      </c>
      <c r="E237" s="219">
        <f t="shared" si="26"/>
        <v>0</v>
      </c>
      <c r="F237" s="218">
        <f t="shared" si="27"/>
        <v>6221.0853634570531</v>
      </c>
      <c r="G237" s="218">
        <f t="shared" si="28"/>
        <v>5740.7983484566385</v>
      </c>
      <c r="H237" s="218">
        <f t="shared" si="31"/>
        <v>480.28701500041478</v>
      </c>
      <c r="I237" s="218">
        <f t="shared" si="29"/>
        <v>119551.46643426026</v>
      </c>
      <c r="J237" s="218">
        <f>SUM($H$18:$H237)</f>
        <v>513190.24639481225</v>
      </c>
    </row>
    <row r="238" spans="1:10" x14ac:dyDescent="0.2">
      <c r="A238" s="221">
        <f>IF(Values_Entered,A237+1,"")</f>
        <v>221</v>
      </c>
      <c r="B238" s="220">
        <f t="shared" si="24"/>
        <v>50242</v>
      </c>
      <c r="C238" s="218">
        <f t="shared" si="30"/>
        <v>119551.46643426026</v>
      </c>
      <c r="D238" s="218">
        <f t="shared" si="25"/>
        <v>6221.0853634570531</v>
      </c>
      <c r="E238" s="219">
        <f t="shared" si="26"/>
        <v>0</v>
      </c>
      <c r="F238" s="218">
        <f t="shared" si="27"/>
        <v>6221.0853634570531</v>
      </c>
      <c r="G238" s="218">
        <f t="shared" si="28"/>
        <v>5762.8047421257224</v>
      </c>
      <c r="H238" s="218">
        <f t="shared" si="31"/>
        <v>458.28062133133102</v>
      </c>
      <c r="I238" s="218">
        <f t="shared" si="29"/>
        <v>113788.66169213454</v>
      </c>
      <c r="J238" s="218">
        <f>SUM($H$18:$H238)</f>
        <v>513648.52701614361</v>
      </c>
    </row>
    <row r="239" spans="1:10" x14ac:dyDescent="0.2">
      <c r="A239" s="221">
        <f>IF(Values_Entered,A238+1,"")</f>
        <v>222</v>
      </c>
      <c r="B239" s="220">
        <f t="shared" si="24"/>
        <v>50273</v>
      </c>
      <c r="C239" s="218">
        <f t="shared" si="30"/>
        <v>113788.66169213454</v>
      </c>
      <c r="D239" s="218">
        <f t="shared" si="25"/>
        <v>6221.0853634570531</v>
      </c>
      <c r="E239" s="219">
        <f t="shared" si="26"/>
        <v>0</v>
      </c>
      <c r="F239" s="218">
        <f t="shared" si="27"/>
        <v>6221.0853634570531</v>
      </c>
      <c r="G239" s="218">
        <f t="shared" si="28"/>
        <v>5784.8954936372038</v>
      </c>
      <c r="H239" s="218">
        <f t="shared" si="31"/>
        <v>436.18986981984904</v>
      </c>
      <c r="I239" s="218">
        <f t="shared" si="29"/>
        <v>108003.76619849734</v>
      </c>
      <c r="J239" s="218">
        <f>SUM($H$18:$H239)</f>
        <v>514084.71688596345</v>
      </c>
    </row>
    <row r="240" spans="1:10" x14ac:dyDescent="0.2">
      <c r="A240" s="221">
        <f>IF(Values_Entered,A239+1,"")</f>
        <v>223</v>
      </c>
      <c r="B240" s="220">
        <f t="shared" si="24"/>
        <v>50304</v>
      </c>
      <c r="C240" s="218">
        <f t="shared" si="30"/>
        <v>108003.76619849734</v>
      </c>
      <c r="D240" s="218">
        <f t="shared" si="25"/>
        <v>6221.0853634570531</v>
      </c>
      <c r="E240" s="219">
        <f t="shared" si="26"/>
        <v>0</v>
      </c>
      <c r="F240" s="218">
        <f t="shared" si="27"/>
        <v>6221.0853634570531</v>
      </c>
      <c r="G240" s="218">
        <f t="shared" si="28"/>
        <v>5807.0709263628132</v>
      </c>
      <c r="H240" s="218">
        <f t="shared" si="31"/>
        <v>414.01443709423978</v>
      </c>
      <c r="I240" s="218">
        <f t="shared" si="29"/>
        <v>102196.69527213453</v>
      </c>
      <c r="J240" s="218">
        <f>SUM($H$18:$H240)</f>
        <v>514498.73132305767</v>
      </c>
    </row>
    <row r="241" spans="1:10" x14ac:dyDescent="0.2">
      <c r="A241" s="221">
        <f>IF(Values_Entered,A240+1,"")</f>
        <v>224</v>
      </c>
      <c r="B241" s="220">
        <f t="shared" si="24"/>
        <v>50334</v>
      </c>
      <c r="C241" s="218">
        <f t="shared" si="30"/>
        <v>102196.69527213453</v>
      </c>
      <c r="D241" s="218">
        <f t="shared" si="25"/>
        <v>6221.0853634570531</v>
      </c>
      <c r="E241" s="219">
        <f t="shared" si="26"/>
        <v>0</v>
      </c>
      <c r="F241" s="218">
        <f t="shared" si="27"/>
        <v>6221.0853634570531</v>
      </c>
      <c r="G241" s="218">
        <f t="shared" si="28"/>
        <v>5829.3313649138709</v>
      </c>
      <c r="H241" s="218">
        <f t="shared" si="31"/>
        <v>391.75399854318238</v>
      </c>
      <c r="I241" s="218">
        <f t="shared" si="29"/>
        <v>96367.363907220657</v>
      </c>
      <c r="J241" s="218">
        <f>SUM($H$18:$H241)</f>
        <v>514890.48532160086</v>
      </c>
    </row>
    <row r="242" spans="1:10" x14ac:dyDescent="0.2">
      <c r="A242" s="221">
        <f>IF(Values_Entered,A241+1,"")</f>
        <v>225</v>
      </c>
      <c r="B242" s="220">
        <f t="shared" si="24"/>
        <v>50365</v>
      </c>
      <c r="C242" s="218">
        <f t="shared" si="30"/>
        <v>96367.363907220657</v>
      </c>
      <c r="D242" s="218">
        <f t="shared" si="25"/>
        <v>6221.0853634570531</v>
      </c>
      <c r="E242" s="219">
        <f t="shared" si="26"/>
        <v>0</v>
      </c>
      <c r="F242" s="218">
        <f t="shared" si="27"/>
        <v>6221.0853634570531</v>
      </c>
      <c r="G242" s="218">
        <f t="shared" si="28"/>
        <v>5851.6771351460402</v>
      </c>
      <c r="H242" s="218">
        <f t="shared" si="31"/>
        <v>369.40822831101246</v>
      </c>
      <c r="I242" s="218">
        <f t="shared" si="29"/>
        <v>90515.686772074623</v>
      </c>
      <c r="J242" s="218">
        <f>SUM($H$18:$H242)</f>
        <v>515259.89354991185</v>
      </c>
    </row>
    <row r="243" spans="1:10" x14ac:dyDescent="0.2">
      <c r="A243" s="221">
        <f>IF(Values_Entered,A242+1,"")</f>
        <v>226</v>
      </c>
      <c r="B243" s="220">
        <f t="shared" si="24"/>
        <v>50395</v>
      </c>
      <c r="C243" s="218">
        <f t="shared" si="30"/>
        <v>90515.686772074623</v>
      </c>
      <c r="D243" s="218">
        <f t="shared" si="25"/>
        <v>6221.0853634570531</v>
      </c>
      <c r="E243" s="219">
        <f t="shared" si="26"/>
        <v>0</v>
      </c>
      <c r="F243" s="218">
        <f t="shared" si="27"/>
        <v>6221.0853634570531</v>
      </c>
      <c r="G243" s="218">
        <f t="shared" si="28"/>
        <v>5874.1085641641002</v>
      </c>
      <c r="H243" s="218">
        <f t="shared" si="31"/>
        <v>346.97679929295276</v>
      </c>
      <c r="I243" s="218">
        <f t="shared" si="29"/>
        <v>84641.578207910527</v>
      </c>
      <c r="J243" s="218">
        <f>SUM($H$18:$H243)</f>
        <v>515606.87034920481</v>
      </c>
    </row>
    <row r="244" spans="1:10" x14ac:dyDescent="0.2">
      <c r="A244" s="221">
        <f>IF(Values_Entered,A243+1,"")</f>
        <v>227</v>
      </c>
      <c r="B244" s="220">
        <f t="shared" si="24"/>
        <v>50426</v>
      </c>
      <c r="C244" s="218">
        <f t="shared" si="30"/>
        <v>84641.578207910527</v>
      </c>
      <c r="D244" s="218">
        <f t="shared" si="25"/>
        <v>6221.0853634570531</v>
      </c>
      <c r="E244" s="219">
        <f t="shared" si="26"/>
        <v>0</v>
      </c>
      <c r="F244" s="218">
        <f t="shared" si="27"/>
        <v>6221.0853634570531</v>
      </c>
      <c r="G244" s="218">
        <f t="shared" si="28"/>
        <v>5896.6259803267294</v>
      </c>
      <c r="H244" s="218">
        <f t="shared" si="31"/>
        <v>324.45938313032372</v>
      </c>
      <c r="I244" s="218">
        <f t="shared" si="29"/>
        <v>78744.952227583795</v>
      </c>
      <c r="J244" s="218">
        <f>SUM($H$18:$H244)</f>
        <v>515931.32973233511</v>
      </c>
    </row>
    <row r="245" spans="1:10" x14ac:dyDescent="0.2">
      <c r="A245" s="221">
        <f>IF(Values_Entered,A244+1,"")</f>
        <v>228</v>
      </c>
      <c r="B245" s="220">
        <f t="shared" si="24"/>
        <v>50457</v>
      </c>
      <c r="C245" s="218">
        <f t="shared" si="30"/>
        <v>78744.952227583795</v>
      </c>
      <c r="D245" s="218">
        <f t="shared" si="25"/>
        <v>6221.0853634570531</v>
      </c>
      <c r="E245" s="219">
        <f t="shared" si="26"/>
        <v>0</v>
      </c>
      <c r="F245" s="218">
        <f t="shared" si="27"/>
        <v>6221.0853634570531</v>
      </c>
      <c r="G245" s="218">
        <f t="shared" si="28"/>
        <v>5919.2297132513149</v>
      </c>
      <c r="H245" s="218">
        <f t="shared" si="31"/>
        <v>301.85565020573785</v>
      </c>
      <c r="I245" s="218">
        <f t="shared" si="29"/>
        <v>72825.722514332476</v>
      </c>
      <c r="J245" s="218">
        <f>SUM($H$18:$H245)</f>
        <v>516233.18538254086</v>
      </c>
    </row>
    <row r="246" spans="1:10" x14ac:dyDescent="0.2">
      <c r="A246" s="221">
        <f>IF(Values_Entered,A245+1,"")</f>
        <v>229</v>
      </c>
      <c r="B246" s="220">
        <f t="shared" si="24"/>
        <v>50485</v>
      </c>
      <c r="C246" s="218">
        <f t="shared" si="30"/>
        <v>72825.722514332476</v>
      </c>
      <c r="D246" s="218">
        <f t="shared" si="25"/>
        <v>6221.0853634570531</v>
      </c>
      <c r="E246" s="219">
        <f t="shared" si="26"/>
        <v>0</v>
      </c>
      <c r="F246" s="218">
        <f t="shared" si="27"/>
        <v>6221.0853634570531</v>
      </c>
      <c r="G246" s="218">
        <f t="shared" si="28"/>
        <v>5941.9200938187787</v>
      </c>
      <c r="H246" s="218">
        <f t="shared" si="31"/>
        <v>279.16526963827448</v>
      </c>
      <c r="I246" s="218">
        <f t="shared" si="29"/>
        <v>66883.802420513704</v>
      </c>
      <c r="J246" s="218">
        <f>SUM($H$18:$H246)</f>
        <v>516512.35065217916</v>
      </c>
    </row>
    <row r="247" spans="1:10" x14ac:dyDescent="0.2">
      <c r="A247" s="221">
        <f>IF(Values_Entered,A246+1,"")</f>
        <v>230</v>
      </c>
      <c r="B247" s="220">
        <f t="shared" si="24"/>
        <v>50516</v>
      </c>
      <c r="C247" s="218">
        <f t="shared" si="30"/>
        <v>66883.802420513704</v>
      </c>
      <c r="D247" s="218">
        <f t="shared" si="25"/>
        <v>6221.0853634570531</v>
      </c>
      <c r="E247" s="219">
        <f t="shared" si="26"/>
        <v>0</v>
      </c>
      <c r="F247" s="218">
        <f t="shared" si="27"/>
        <v>6221.0853634570531</v>
      </c>
      <c r="G247" s="218">
        <f t="shared" si="28"/>
        <v>5964.6974541784175</v>
      </c>
      <c r="H247" s="218">
        <f t="shared" si="31"/>
        <v>256.38790927863585</v>
      </c>
      <c r="I247" s="218">
        <f t="shared" si="29"/>
        <v>60919.10496633529</v>
      </c>
      <c r="J247" s="218">
        <f>SUM($H$18:$H247)</f>
        <v>516768.73856145778</v>
      </c>
    </row>
    <row r="248" spans="1:10" x14ac:dyDescent="0.2">
      <c r="A248" s="221">
        <f>IF(Values_Entered,A247+1,"")</f>
        <v>231</v>
      </c>
      <c r="B248" s="220">
        <f t="shared" si="24"/>
        <v>50546</v>
      </c>
      <c r="C248" s="218">
        <f t="shared" si="30"/>
        <v>60919.10496633529</v>
      </c>
      <c r="D248" s="218">
        <f t="shared" si="25"/>
        <v>6221.0853634570531</v>
      </c>
      <c r="E248" s="219">
        <f t="shared" si="26"/>
        <v>0</v>
      </c>
      <c r="F248" s="218">
        <f t="shared" si="27"/>
        <v>6221.0853634570531</v>
      </c>
      <c r="G248" s="218">
        <f t="shared" si="28"/>
        <v>5987.562127752768</v>
      </c>
      <c r="H248" s="218">
        <f t="shared" si="31"/>
        <v>233.52323570428527</v>
      </c>
      <c r="I248" s="218">
        <f t="shared" si="29"/>
        <v>54931.542838582522</v>
      </c>
      <c r="J248" s="218">
        <f>SUM($H$18:$H248)</f>
        <v>517002.26179716206</v>
      </c>
    </row>
    <row r="249" spans="1:10" x14ac:dyDescent="0.2">
      <c r="A249" s="221">
        <f>IF(Values_Entered,A248+1,"")</f>
        <v>232</v>
      </c>
      <c r="B249" s="220">
        <f t="shared" si="24"/>
        <v>50577</v>
      </c>
      <c r="C249" s="218">
        <f t="shared" si="30"/>
        <v>54931.542838582522</v>
      </c>
      <c r="D249" s="218">
        <f t="shared" si="25"/>
        <v>6221.0853634570531</v>
      </c>
      <c r="E249" s="219">
        <f t="shared" si="26"/>
        <v>0</v>
      </c>
      <c r="F249" s="218">
        <f t="shared" si="27"/>
        <v>6221.0853634570531</v>
      </c>
      <c r="G249" s="218">
        <f t="shared" si="28"/>
        <v>6010.514449242487</v>
      </c>
      <c r="H249" s="218">
        <f t="shared" si="31"/>
        <v>210.57091421456633</v>
      </c>
      <c r="I249" s="218">
        <f t="shared" si="29"/>
        <v>48921.028389340034</v>
      </c>
      <c r="J249" s="218">
        <f>SUM($H$18:$H249)</f>
        <v>517212.83271137666</v>
      </c>
    </row>
    <row r="250" spans="1:10" x14ac:dyDescent="0.2">
      <c r="A250" s="221">
        <f>IF(Values_Entered,A249+1,"")</f>
        <v>233</v>
      </c>
      <c r="B250" s="220">
        <f t="shared" si="24"/>
        <v>50607</v>
      </c>
      <c r="C250" s="218">
        <f t="shared" si="30"/>
        <v>48921.028389340034</v>
      </c>
      <c r="D250" s="218">
        <f t="shared" si="25"/>
        <v>6221.0853634570531</v>
      </c>
      <c r="E250" s="219">
        <f t="shared" si="26"/>
        <v>0</v>
      </c>
      <c r="F250" s="218">
        <f t="shared" si="27"/>
        <v>6221.0853634570531</v>
      </c>
      <c r="G250" s="218">
        <f t="shared" si="28"/>
        <v>6033.55475463125</v>
      </c>
      <c r="H250" s="218">
        <f t="shared" si="31"/>
        <v>187.53060882580345</v>
      </c>
      <c r="I250" s="218">
        <f t="shared" si="29"/>
        <v>42887.473634708782</v>
      </c>
      <c r="J250" s="218">
        <f>SUM($H$18:$H250)</f>
        <v>517400.36332020245</v>
      </c>
    </row>
    <row r="251" spans="1:10" x14ac:dyDescent="0.2">
      <c r="A251" s="221">
        <f>IF(Values_Entered,A250+1,"")</f>
        <v>234</v>
      </c>
      <c r="B251" s="220">
        <f t="shared" si="24"/>
        <v>50638</v>
      </c>
      <c r="C251" s="218">
        <f t="shared" si="30"/>
        <v>42887.473634708782</v>
      </c>
      <c r="D251" s="218">
        <f t="shared" si="25"/>
        <v>6221.0853634570531</v>
      </c>
      <c r="E251" s="219">
        <f t="shared" si="26"/>
        <v>0</v>
      </c>
      <c r="F251" s="218">
        <f t="shared" si="27"/>
        <v>6221.0853634570531</v>
      </c>
      <c r="G251" s="218">
        <f t="shared" si="28"/>
        <v>6056.683381190669</v>
      </c>
      <c r="H251" s="218">
        <f t="shared" si="31"/>
        <v>164.40198226638367</v>
      </c>
      <c r="I251" s="218">
        <f t="shared" si="29"/>
        <v>36830.790253518113</v>
      </c>
      <c r="J251" s="218">
        <f>SUM($H$18:$H251)</f>
        <v>517564.76530246885</v>
      </c>
    </row>
    <row r="252" spans="1:10" x14ac:dyDescent="0.2">
      <c r="A252" s="221">
        <f>IF(Values_Entered,A251+1,"")</f>
        <v>235</v>
      </c>
      <c r="B252" s="220">
        <f t="shared" si="24"/>
        <v>50669</v>
      </c>
      <c r="C252" s="218">
        <f t="shared" si="30"/>
        <v>36830.790253518113</v>
      </c>
      <c r="D252" s="218">
        <f t="shared" si="25"/>
        <v>6221.0853634570531</v>
      </c>
      <c r="E252" s="219">
        <f t="shared" si="26"/>
        <v>0</v>
      </c>
      <c r="F252" s="218">
        <f t="shared" si="27"/>
        <v>6221.0853634570531</v>
      </c>
      <c r="G252" s="218">
        <f t="shared" si="28"/>
        <v>6079.9006674852335</v>
      </c>
      <c r="H252" s="218">
        <f t="shared" si="31"/>
        <v>141.18469597181942</v>
      </c>
      <c r="I252" s="218">
        <f t="shared" si="29"/>
        <v>30750.889586032878</v>
      </c>
      <c r="J252" s="218">
        <f>SUM($H$18:$H252)</f>
        <v>517705.94999844069</v>
      </c>
    </row>
    <row r="253" spans="1:10" x14ac:dyDescent="0.2">
      <c r="A253" s="221">
        <f>IF(Values_Entered,A252+1,"")</f>
        <v>236</v>
      </c>
      <c r="B253" s="220">
        <f t="shared" si="24"/>
        <v>50699</v>
      </c>
      <c r="C253" s="218">
        <f t="shared" si="30"/>
        <v>30750.889586032878</v>
      </c>
      <c r="D253" s="218">
        <f t="shared" si="25"/>
        <v>6221.0853634570531</v>
      </c>
      <c r="E253" s="219">
        <f t="shared" si="26"/>
        <v>0</v>
      </c>
      <c r="F253" s="218">
        <f t="shared" si="27"/>
        <v>6221.0853634570531</v>
      </c>
      <c r="G253" s="218">
        <f t="shared" si="28"/>
        <v>6103.2069533772601</v>
      </c>
      <c r="H253" s="218">
        <f t="shared" si="31"/>
        <v>117.87841007979269</v>
      </c>
      <c r="I253" s="218">
        <f t="shared" si="29"/>
        <v>24647.682632655618</v>
      </c>
      <c r="J253" s="218">
        <f>SUM($H$18:$H253)</f>
        <v>517823.82840852049</v>
      </c>
    </row>
    <row r="254" spans="1:10" x14ac:dyDescent="0.2">
      <c r="A254" s="221">
        <f>IF(Values_Entered,A253+1,"")</f>
        <v>237</v>
      </c>
      <c r="B254" s="220">
        <f t="shared" si="24"/>
        <v>50730</v>
      </c>
      <c r="C254" s="218">
        <f t="shared" si="30"/>
        <v>24647.682632655618</v>
      </c>
      <c r="D254" s="218">
        <f t="shared" si="25"/>
        <v>6221.0853634570531</v>
      </c>
      <c r="E254" s="219">
        <f t="shared" si="26"/>
        <v>0</v>
      </c>
      <c r="F254" s="218">
        <f t="shared" si="27"/>
        <v>6221.0853634570531</v>
      </c>
      <c r="G254" s="218">
        <f t="shared" si="28"/>
        <v>6126.602580031873</v>
      </c>
      <c r="H254" s="218">
        <f t="shared" si="31"/>
        <v>94.482783425179875</v>
      </c>
      <c r="I254" s="218">
        <f t="shared" si="29"/>
        <v>18521.080052623744</v>
      </c>
      <c r="J254" s="218">
        <f>SUM($H$18:$H254)</f>
        <v>517918.31119194569</v>
      </c>
    </row>
    <row r="255" spans="1:10" x14ac:dyDescent="0.2">
      <c r="A255" s="221">
        <f>IF(Values_Entered,A254+1,"")</f>
        <v>238</v>
      </c>
      <c r="B255" s="220">
        <f t="shared" si="24"/>
        <v>50760</v>
      </c>
      <c r="C255" s="218">
        <f t="shared" si="30"/>
        <v>18521.080052623744</v>
      </c>
      <c r="D255" s="218">
        <f t="shared" si="25"/>
        <v>6221.0853634570531</v>
      </c>
      <c r="E255" s="219">
        <f t="shared" si="26"/>
        <v>0</v>
      </c>
      <c r="F255" s="218">
        <f t="shared" si="27"/>
        <v>6221.0853634570531</v>
      </c>
      <c r="G255" s="218">
        <f t="shared" si="28"/>
        <v>6150.0878899219952</v>
      </c>
      <c r="H255" s="218">
        <f t="shared" si="31"/>
        <v>70.997473535057679</v>
      </c>
      <c r="I255" s="218">
        <f t="shared" si="29"/>
        <v>12370.992162701748</v>
      </c>
      <c r="J255" s="218">
        <f>SUM($H$18:$H255)</f>
        <v>517989.30866548076</v>
      </c>
    </row>
    <row r="256" spans="1:10" x14ac:dyDescent="0.2">
      <c r="A256" s="221">
        <f>IF(Values_Entered,A255+1,"")</f>
        <v>239</v>
      </c>
      <c r="B256" s="220">
        <f t="shared" si="24"/>
        <v>50791</v>
      </c>
      <c r="C256" s="218">
        <f t="shared" si="30"/>
        <v>12370.992162701748</v>
      </c>
      <c r="D256" s="218">
        <f t="shared" si="25"/>
        <v>6221.0853634570531</v>
      </c>
      <c r="E256" s="219">
        <f t="shared" si="26"/>
        <v>0</v>
      </c>
      <c r="F256" s="218">
        <f t="shared" si="27"/>
        <v>6221.0853634570531</v>
      </c>
      <c r="G256" s="218">
        <f t="shared" si="28"/>
        <v>6173.6632268333633</v>
      </c>
      <c r="H256" s="218">
        <f t="shared" si="31"/>
        <v>47.422136623690029</v>
      </c>
      <c r="I256" s="218">
        <f t="shared" si="29"/>
        <v>6197.3289358683851</v>
      </c>
      <c r="J256" s="218">
        <f>SUM($H$18:$H256)</f>
        <v>518036.73080210446</v>
      </c>
    </row>
    <row r="257" spans="1:10" x14ac:dyDescent="0.2">
      <c r="A257" s="221">
        <f>IF(Values_Entered,A256+1,"")</f>
        <v>240</v>
      </c>
      <c r="B257" s="220">
        <f t="shared" si="24"/>
        <v>50822</v>
      </c>
      <c r="C257" s="218">
        <f t="shared" si="30"/>
        <v>6197.3289358683851</v>
      </c>
      <c r="D257" s="218">
        <f t="shared" si="25"/>
        <v>6221.0853634570531</v>
      </c>
      <c r="E257" s="219">
        <f t="shared" si="26"/>
        <v>0</v>
      </c>
      <c r="F257" s="218">
        <f t="shared" si="27"/>
        <v>6197.3289358683851</v>
      </c>
      <c r="G257" s="218">
        <f t="shared" si="28"/>
        <v>6173.5725082808895</v>
      </c>
      <c r="H257" s="218">
        <f t="shared" si="31"/>
        <v>23.756427587495477</v>
      </c>
      <c r="I257" s="218">
        <f t="shared" si="29"/>
        <v>0</v>
      </c>
      <c r="J257" s="218">
        <f>SUM($H$18:$H257)</f>
        <v>518060.48722969193</v>
      </c>
    </row>
    <row r="258" spans="1:10" x14ac:dyDescent="0.2">
      <c r="A258" s="221">
        <f>IF(Values_Entered,A257+1,"")</f>
        <v>241</v>
      </c>
      <c r="B258" s="220">
        <f t="shared" si="24"/>
        <v>50850</v>
      </c>
      <c r="C258" s="218">
        <f t="shared" si="30"/>
        <v>0</v>
      </c>
      <c r="D258" s="218">
        <f t="shared" si="25"/>
        <v>6221.0853634570531</v>
      </c>
      <c r="E258" s="219">
        <f t="shared" si="26"/>
        <v>0</v>
      </c>
      <c r="F258" s="218">
        <f t="shared" si="27"/>
        <v>0</v>
      </c>
      <c r="G258" s="218">
        <f t="shared" si="28"/>
        <v>0</v>
      </c>
      <c r="H258" s="218">
        <f t="shared" si="31"/>
        <v>0</v>
      </c>
      <c r="I258" s="218">
        <f t="shared" si="29"/>
        <v>0</v>
      </c>
      <c r="J258" s="218">
        <f>SUM($H$18:$H258)</f>
        <v>518060.48722969193</v>
      </c>
    </row>
    <row r="259" spans="1:10" x14ac:dyDescent="0.2">
      <c r="A259" s="221">
        <f>IF(Values_Entered,A258+1,"")</f>
        <v>242</v>
      </c>
      <c r="B259" s="220">
        <f t="shared" si="24"/>
        <v>50881</v>
      </c>
      <c r="C259" s="218">
        <f t="shared" si="30"/>
        <v>0</v>
      </c>
      <c r="D259" s="218">
        <f t="shared" si="25"/>
        <v>6221.0853634570531</v>
      </c>
      <c r="E259" s="219">
        <f t="shared" si="26"/>
        <v>0</v>
      </c>
      <c r="F259" s="218">
        <f t="shared" si="27"/>
        <v>0</v>
      </c>
      <c r="G259" s="218">
        <f t="shared" si="28"/>
        <v>0</v>
      </c>
      <c r="H259" s="218">
        <f t="shared" si="31"/>
        <v>0</v>
      </c>
      <c r="I259" s="218">
        <f t="shared" si="29"/>
        <v>0</v>
      </c>
      <c r="J259" s="218">
        <f>SUM($H$18:$H259)</f>
        <v>518060.48722969193</v>
      </c>
    </row>
    <row r="260" spans="1:10" x14ac:dyDescent="0.2">
      <c r="A260" s="221">
        <f>IF(Values_Entered,A259+1,"")</f>
        <v>243</v>
      </c>
      <c r="B260" s="220">
        <f t="shared" si="24"/>
        <v>50911</v>
      </c>
      <c r="C260" s="218">
        <f t="shared" si="30"/>
        <v>0</v>
      </c>
      <c r="D260" s="218">
        <f t="shared" si="25"/>
        <v>6221.0853634570531</v>
      </c>
      <c r="E260" s="219">
        <f t="shared" si="26"/>
        <v>0</v>
      </c>
      <c r="F260" s="218">
        <f t="shared" si="27"/>
        <v>0</v>
      </c>
      <c r="G260" s="218">
        <f t="shared" si="28"/>
        <v>0</v>
      </c>
      <c r="H260" s="218">
        <f t="shared" si="31"/>
        <v>0</v>
      </c>
      <c r="I260" s="218">
        <f t="shared" si="29"/>
        <v>0</v>
      </c>
      <c r="J260" s="218">
        <f>SUM($H$18:$H260)</f>
        <v>518060.48722969193</v>
      </c>
    </row>
    <row r="261" spans="1:10" x14ac:dyDescent="0.2">
      <c r="A261" s="221">
        <f>IF(Values_Entered,A260+1,"")</f>
        <v>244</v>
      </c>
      <c r="B261" s="220">
        <f t="shared" si="24"/>
        <v>50942</v>
      </c>
      <c r="C261" s="218">
        <f t="shared" si="30"/>
        <v>0</v>
      </c>
      <c r="D261" s="218">
        <f t="shared" si="25"/>
        <v>6221.0853634570531</v>
      </c>
      <c r="E261" s="219">
        <f t="shared" si="26"/>
        <v>0</v>
      </c>
      <c r="F261" s="218">
        <f t="shared" si="27"/>
        <v>0</v>
      </c>
      <c r="G261" s="218">
        <f t="shared" si="28"/>
        <v>0</v>
      </c>
      <c r="H261" s="218">
        <f t="shared" si="31"/>
        <v>0</v>
      </c>
      <c r="I261" s="218">
        <f t="shared" si="29"/>
        <v>0</v>
      </c>
      <c r="J261" s="218">
        <f>SUM($H$18:$H261)</f>
        <v>518060.48722969193</v>
      </c>
    </row>
    <row r="262" spans="1:10" x14ac:dyDescent="0.2">
      <c r="A262" s="221">
        <f>IF(Values_Entered,A261+1,"")</f>
        <v>245</v>
      </c>
      <c r="B262" s="220">
        <f t="shared" si="24"/>
        <v>50972</v>
      </c>
      <c r="C262" s="218">
        <f t="shared" si="30"/>
        <v>0</v>
      </c>
      <c r="D262" s="218">
        <f t="shared" si="25"/>
        <v>6221.0853634570531</v>
      </c>
      <c r="E262" s="219">
        <f t="shared" si="26"/>
        <v>0</v>
      </c>
      <c r="F262" s="218">
        <f t="shared" si="27"/>
        <v>0</v>
      </c>
      <c r="G262" s="218">
        <f t="shared" si="28"/>
        <v>0</v>
      </c>
      <c r="H262" s="218">
        <f t="shared" si="31"/>
        <v>0</v>
      </c>
      <c r="I262" s="218">
        <f t="shared" si="29"/>
        <v>0</v>
      </c>
      <c r="J262" s="218">
        <f>SUM($H$18:$H262)</f>
        <v>518060.48722969193</v>
      </c>
    </row>
    <row r="263" spans="1:10" x14ac:dyDescent="0.2">
      <c r="A263" s="221">
        <f>IF(Values_Entered,A262+1,"")</f>
        <v>246</v>
      </c>
      <c r="B263" s="220">
        <f t="shared" si="24"/>
        <v>51003</v>
      </c>
      <c r="C263" s="218">
        <f t="shared" si="30"/>
        <v>0</v>
      </c>
      <c r="D263" s="218">
        <f t="shared" si="25"/>
        <v>6221.0853634570531</v>
      </c>
      <c r="E263" s="219">
        <f t="shared" si="26"/>
        <v>0</v>
      </c>
      <c r="F263" s="218">
        <f t="shared" si="27"/>
        <v>0</v>
      </c>
      <c r="G263" s="218">
        <f t="shared" si="28"/>
        <v>0</v>
      </c>
      <c r="H263" s="218">
        <f t="shared" si="31"/>
        <v>0</v>
      </c>
      <c r="I263" s="218">
        <f t="shared" si="29"/>
        <v>0</v>
      </c>
      <c r="J263" s="218">
        <f>SUM($H$18:$H263)</f>
        <v>518060.48722969193</v>
      </c>
    </row>
    <row r="264" spans="1:10" x14ac:dyDescent="0.2">
      <c r="A264" s="221">
        <f>IF(Values_Entered,A263+1,"")</f>
        <v>247</v>
      </c>
      <c r="B264" s="220">
        <f t="shared" si="24"/>
        <v>51034</v>
      </c>
      <c r="C264" s="218">
        <f t="shared" si="30"/>
        <v>0</v>
      </c>
      <c r="D264" s="218">
        <f t="shared" si="25"/>
        <v>6221.0853634570531</v>
      </c>
      <c r="E264" s="219">
        <f t="shared" si="26"/>
        <v>0</v>
      </c>
      <c r="F264" s="218">
        <f t="shared" si="27"/>
        <v>0</v>
      </c>
      <c r="G264" s="218">
        <f t="shared" si="28"/>
        <v>0</v>
      </c>
      <c r="H264" s="218">
        <f t="shared" si="31"/>
        <v>0</v>
      </c>
      <c r="I264" s="218">
        <f t="shared" si="29"/>
        <v>0</v>
      </c>
      <c r="J264" s="218">
        <f>SUM($H$18:$H264)</f>
        <v>518060.48722969193</v>
      </c>
    </row>
    <row r="265" spans="1:10" x14ac:dyDescent="0.2">
      <c r="A265" s="221">
        <f>IF(Values_Entered,A264+1,"")</f>
        <v>248</v>
      </c>
      <c r="B265" s="220">
        <f t="shared" si="24"/>
        <v>51064</v>
      </c>
      <c r="C265" s="218">
        <f t="shared" si="30"/>
        <v>0</v>
      </c>
      <c r="D265" s="218">
        <f t="shared" si="25"/>
        <v>6221.0853634570531</v>
      </c>
      <c r="E265" s="219">
        <f t="shared" si="26"/>
        <v>0</v>
      </c>
      <c r="F265" s="218">
        <f t="shared" si="27"/>
        <v>0</v>
      </c>
      <c r="G265" s="218">
        <f t="shared" si="28"/>
        <v>0</v>
      </c>
      <c r="H265" s="218">
        <f t="shared" si="31"/>
        <v>0</v>
      </c>
      <c r="I265" s="218">
        <f t="shared" si="29"/>
        <v>0</v>
      </c>
      <c r="J265" s="218">
        <f>SUM($H$18:$H265)</f>
        <v>518060.48722969193</v>
      </c>
    </row>
    <row r="266" spans="1:10" x14ac:dyDescent="0.2">
      <c r="A266" s="221">
        <f>IF(Values_Entered,A265+1,"")</f>
        <v>249</v>
      </c>
      <c r="B266" s="220">
        <f t="shared" si="24"/>
        <v>51095</v>
      </c>
      <c r="C266" s="218">
        <f t="shared" si="30"/>
        <v>0</v>
      </c>
      <c r="D266" s="218">
        <f t="shared" si="25"/>
        <v>6221.0853634570531</v>
      </c>
      <c r="E266" s="219">
        <f t="shared" si="26"/>
        <v>0</v>
      </c>
      <c r="F266" s="218">
        <f t="shared" si="27"/>
        <v>0</v>
      </c>
      <c r="G266" s="218">
        <f t="shared" si="28"/>
        <v>0</v>
      </c>
      <c r="H266" s="218">
        <f t="shared" si="31"/>
        <v>0</v>
      </c>
      <c r="I266" s="218">
        <f t="shared" si="29"/>
        <v>0</v>
      </c>
      <c r="J266" s="218">
        <f>SUM($H$18:$H266)</f>
        <v>518060.48722969193</v>
      </c>
    </row>
    <row r="267" spans="1:10" x14ac:dyDescent="0.2">
      <c r="A267" s="221">
        <f>IF(Values_Entered,A266+1,"")</f>
        <v>250</v>
      </c>
      <c r="B267" s="220">
        <f t="shared" si="24"/>
        <v>51125</v>
      </c>
      <c r="C267" s="218">
        <f t="shared" si="30"/>
        <v>0</v>
      </c>
      <c r="D267" s="218">
        <f t="shared" si="25"/>
        <v>6221.0853634570531</v>
      </c>
      <c r="E267" s="219">
        <f t="shared" si="26"/>
        <v>0</v>
      </c>
      <c r="F267" s="218">
        <f t="shared" si="27"/>
        <v>0</v>
      </c>
      <c r="G267" s="218">
        <f t="shared" si="28"/>
        <v>0</v>
      </c>
      <c r="H267" s="218">
        <f t="shared" si="31"/>
        <v>0</v>
      </c>
      <c r="I267" s="218">
        <f t="shared" si="29"/>
        <v>0</v>
      </c>
      <c r="J267" s="218">
        <f>SUM($H$18:$H267)</f>
        <v>518060.48722969193</v>
      </c>
    </row>
    <row r="268" spans="1:10" x14ac:dyDescent="0.2">
      <c r="A268" s="221">
        <f>IF(Values_Entered,A267+1,"")</f>
        <v>251</v>
      </c>
      <c r="B268" s="220">
        <f t="shared" si="24"/>
        <v>51156</v>
      </c>
      <c r="C268" s="218">
        <f t="shared" si="30"/>
        <v>0</v>
      </c>
      <c r="D268" s="218">
        <f t="shared" si="25"/>
        <v>6221.0853634570531</v>
      </c>
      <c r="E268" s="219">
        <f t="shared" si="26"/>
        <v>0</v>
      </c>
      <c r="F268" s="218">
        <f t="shared" si="27"/>
        <v>0</v>
      </c>
      <c r="G268" s="218">
        <f t="shared" si="28"/>
        <v>0</v>
      </c>
      <c r="H268" s="218">
        <f t="shared" si="31"/>
        <v>0</v>
      </c>
      <c r="I268" s="218">
        <f t="shared" si="29"/>
        <v>0</v>
      </c>
      <c r="J268" s="218">
        <f>SUM($H$18:$H268)</f>
        <v>518060.48722969193</v>
      </c>
    </row>
    <row r="269" spans="1:10" x14ac:dyDescent="0.2">
      <c r="A269" s="221">
        <f>IF(Values_Entered,A268+1,"")</f>
        <v>252</v>
      </c>
      <c r="B269" s="220">
        <f t="shared" si="24"/>
        <v>51187</v>
      </c>
      <c r="C269" s="218">
        <f t="shared" si="30"/>
        <v>0</v>
      </c>
      <c r="D269" s="218">
        <f t="shared" si="25"/>
        <v>6221.0853634570531</v>
      </c>
      <c r="E269" s="219">
        <f t="shared" si="26"/>
        <v>0</v>
      </c>
      <c r="F269" s="218">
        <f t="shared" si="27"/>
        <v>0</v>
      </c>
      <c r="G269" s="218">
        <f t="shared" si="28"/>
        <v>0</v>
      </c>
      <c r="H269" s="218">
        <f t="shared" si="31"/>
        <v>0</v>
      </c>
      <c r="I269" s="218">
        <f t="shared" si="29"/>
        <v>0</v>
      </c>
      <c r="J269" s="218">
        <f>SUM($H$18:$H269)</f>
        <v>518060.48722969193</v>
      </c>
    </row>
    <row r="270" spans="1:10" x14ac:dyDescent="0.2">
      <c r="A270" s="221">
        <f>IF(Values_Entered,A269+1,"")</f>
        <v>253</v>
      </c>
      <c r="B270" s="220">
        <f t="shared" si="24"/>
        <v>51216</v>
      </c>
      <c r="C270" s="218">
        <f t="shared" si="30"/>
        <v>0</v>
      </c>
      <c r="D270" s="218">
        <f t="shared" si="25"/>
        <v>6221.0853634570531</v>
      </c>
      <c r="E270" s="219">
        <f t="shared" si="26"/>
        <v>0</v>
      </c>
      <c r="F270" s="218">
        <f t="shared" si="27"/>
        <v>0</v>
      </c>
      <c r="G270" s="218">
        <f t="shared" si="28"/>
        <v>0</v>
      </c>
      <c r="H270" s="218">
        <f t="shared" si="31"/>
        <v>0</v>
      </c>
      <c r="I270" s="218">
        <f t="shared" si="29"/>
        <v>0</v>
      </c>
      <c r="J270" s="218">
        <f>SUM($H$18:$H270)</f>
        <v>518060.48722969193</v>
      </c>
    </row>
    <row r="271" spans="1:10" x14ac:dyDescent="0.2">
      <c r="A271" s="221">
        <f>IF(Values_Entered,A270+1,"")</f>
        <v>254</v>
      </c>
      <c r="B271" s="220">
        <f t="shared" si="24"/>
        <v>51247</v>
      </c>
      <c r="C271" s="218">
        <f t="shared" si="30"/>
        <v>0</v>
      </c>
      <c r="D271" s="218">
        <f t="shared" si="25"/>
        <v>6221.0853634570531</v>
      </c>
      <c r="E271" s="219">
        <f t="shared" si="26"/>
        <v>0</v>
      </c>
      <c r="F271" s="218">
        <f t="shared" si="27"/>
        <v>0</v>
      </c>
      <c r="G271" s="218">
        <f t="shared" si="28"/>
        <v>0</v>
      </c>
      <c r="H271" s="218">
        <f t="shared" si="31"/>
        <v>0</v>
      </c>
      <c r="I271" s="218">
        <f t="shared" si="29"/>
        <v>0</v>
      </c>
      <c r="J271" s="218">
        <f>SUM($H$18:$H271)</f>
        <v>518060.48722969193</v>
      </c>
    </row>
    <row r="272" spans="1:10" x14ac:dyDescent="0.2">
      <c r="A272" s="221">
        <f>IF(Values_Entered,A271+1,"")</f>
        <v>255</v>
      </c>
      <c r="B272" s="220">
        <f t="shared" si="24"/>
        <v>51277</v>
      </c>
      <c r="C272" s="218">
        <f t="shared" si="30"/>
        <v>0</v>
      </c>
      <c r="D272" s="218">
        <f t="shared" si="25"/>
        <v>6221.0853634570531</v>
      </c>
      <c r="E272" s="219">
        <f t="shared" si="26"/>
        <v>0</v>
      </c>
      <c r="F272" s="218">
        <f t="shared" si="27"/>
        <v>0</v>
      </c>
      <c r="G272" s="218">
        <f t="shared" si="28"/>
        <v>0</v>
      </c>
      <c r="H272" s="218">
        <f t="shared" si="31"/>
        <v>0</v>
      </c>
      <c r="I272" s="218">
        <f t="shared" si="29"/>
        <v>0</v>
      </c>
      <c r="J272" s="218">
        <f>SUM($H$18:$H272)</f>
        <v>518060.48722969193</v>
      </c>
    </row>
    <row r="273" spans="1:10" x14ac:dyDescent="0.2">
      <c r="A273" s="221">
        <f>IF(Values_Entered,A272+1,"")</f>
        <v>256</v>
      </c>
      <c r="B273" s="220">
        <f t="shared" si="24"/>
        <v>51308</v>
      </c>
      <c r="C273" s="218">
        <f t="shared" si="30"/>
        <v>0</v>
      </c>
      <c r="D273" s="218">
        <f t="shared" si="25"/>
        <v>6221.0853634570531</v>
      </c>
      <c r="E273" s="219">
        <f t="shared" si="26"/>
        <v>0</v>
      </c>
      <c r="F273" s="218">
        <f t="shared" si="27"/>
        <v>0</v>
      </c>
      <c r="G273" s="218">
        <f t="shared" si="28"/>
        <v>0</v>
      </c>
      <c r="H273" s="218">
        <f t="shared" si="31"/>
        <v>0</v>
      </c>
      <c r="I273" s="218">
        <f t="shared" si="29"/>
        <v>0</v>
      </c>
      <c r="J273" s="218">
        <f>SUM($H$18:$H273)</f>
        <v>518060.48722969193</v>
      </c>
    </row>
    <row r="274" spans="1:10" x14ac:dyDescent="0.2">
      <c r="A274" s="221">
        <f>IF(Values_Entered,A273+1,"")</f>
        <v>257</v>
      </c>
      <c r="B274" s="220">
        <f t="shared" ref="B274:B337" si="32">IF(Pay_Num&lt;&gt;"",DATE(YEAR(Loan_Start),MONTH(Loan_Start)+(Pay_Num)*12/Num_Pmt_Per_Year,DAY(Loan_Start)),"")</f>
        <v>51338</v>
      </c>
      <c r="C274" s="218">
        <f t="shared" si="30"/>
        <v>0</v>
      </c>
      <c r="D274" s="218">
        <f t="shared" ref="D274:D337" si="33">IF(Pay_Num&lt;&gt;"",Scheduled_Monthly_Payment,"")</f>
        <v>6221.0853634570531</v>
      </c>
      <c r="E274" s="219">
        <f t="shared" ref="E274:E337" si="34">IF(AND(Pay_Num&lt;&gt;"",Sched_Pay+Scheduled_Extra_Payments&lt;Beg_Bal),Scheduled_Extra_Payments,IF(AND(Pay_Num&lt;&gt;"",Beg_Bal-Sched_Pay&gt;0),Beg_Bal-Sched_Pay,IF(Pay_Num&lt;&gt;"",0,"")))</f>
        <v>0</v>
      </c>
      <c r="F274" s="218">
        <f t="shared" ref="F274:F337" si="35">IF(AND(Pay_Num&lt;&gt;"",Sched_Pay+Extra_Pay&lt;Beg_Bal),Sched_Pay+Extra_Pay,IF(Pay_Num&lt;&gt;"",Beg_Bal,""))</f>
        <v>0</v>
      </c>
      <c r="G274" s="218">
        <f t="shared" ref="G274:G337" si="36">IF(Pay_Num&lt;&gt;"",Total_Pay-Int,"")</f>
        <v>0</v>
      </c>
      <c r="H274" s="218">
        <f t="shared" si="31"/>
        <v>0</v>
      </c>
      <c r="I274" s="218">
        <f t="shared" ref="I274:I337" si="37">IF(AND(Pay_Num&lt;&gt;"",Sched_Pay+Extra_Pay&lt;Beg_Bal),Beg_Bal-Princ,IF(Pay_Num&lt;&gt;"",0,""))</f>
        <v>0</v>
      </c>
      <c r="J274" s="218">
        <f>SUM($H$18:$H274)</f>
        <v>518060.48722969193</v>
      </c>
    </row>
    <row r="275" spans="1:10" x14ac:dyDescent="0.2">
      <c r="A275" s="221">
        <f>IF(Values_Entered,A274+1,"")</f>
        <v>258</v>
      </c>
      <c r="B275" s="220">
        <f t="shared" si="32"/>
        <v>51369</v>
      </c>
      <c r="C275" s="218">
        <f t="shared" ref="C275:C338" si="38">IF(Pay_Num&lt;&gt;"",I274,"")</f>
        <v>0</v>
      </c>
      <c r="D275" s="218">
        <f t="shared" si="33"/>
        <v>6221.0853634570531</v>
      </c>
      <c r="E275" s="219">
        <f t="shared" si="34"/>
        <v>0</v>
      </c>
      <c r="F275" s="218">
        <f t="shared" si="35"/>
        <v>0</v>
      </c>
      <c r="G275" s="218">
        <f t="shared" si="36"/>
        <v>0</v>
      </c>
      <c r="H275" s="218">
        <f t="shared" ref="H275:H338" si="39">IF(Pay_Num&lt;&gt;"",Beg_Bal*Interest_Rate/Num_Pmt_Per_Year,"")</f>
        <v>0</v>
      </c>
      <c r="I275" s="218">
        <f t="shared" si="37"/>
        <v>0</v>
      </c>
      <c r="J275" s="218">
        <f>SUM($H$18:$H275)</f>
        <v>518060.48722969193</v>
      </c>
    </row>
    <row r="276" spans="1:10" x14ac:dyDescent="0.2">
      <c r="A276" s="221">
        <f>IF(Values_Entered,A275+1,"")</f>
        <v>259</v>
      </c>
      <c r="B276" s="220">
        <f t="shared" si="32"/>
        <v>51400</v>
      </c>
      <c r="C276" s="218">
        <f t="shared" si="38"/>
        <v>0</v>
      </c>
      <c r="D276" s="218">
        <f t="shared" si="33"/>
        <v>6221.0853634570531</v>
      </c>
      <c r="E276" s="219">
        <f t="shared" si="34"/>
        <v>0</v>
      </c>
      <c r="F276" s="218">
        <f t="shared" si="35"/>
        <v>0</v>
      </c>
      <c r="G276" s="218">
        <f t="shared" si="36"/>
        <v>0</v>
      </c>
      <c r="H276" s="218">
        <f t="shared" si="39"/>
        <v>0</v>
      </c>
      <c r="I276" s="218">
        <f t="shared" si="37"/>
        <v>0</v>
      </c>
      <c r="J276" s="218">
        <f>SUM($H$18:$H276)</f>
        <v>518060.48722969193</v>
      </c>
    </row>
    <row r="277" spans="1:10" x14ac:dyDescent="0.2">
      <c r="A277" s="221">
        <f>IF(Values_Entered,A276+1,"")</f>
        <v>260</v>
      </c>
      <c r="B277" s="220">
        <f t="shared" si="32"/>
        <v>51430</v>
      </c>
      <c r="C277" s="218">
        <f t="shared" si="38"/>
        <v>0</v>
      </c>
      <c r="D277" s="218">
        <f t="shared" si="33"/>
        <v>6221.0853634570531</v>
      </c>
      <c r="E277" s="219">
        <f t="shared" si="34"/>
        <v>0</v>
      </c>
      <c r="F277" s="218">
        <f t="shared" si="35"/>
        <v>0</v>
      </c>
      <c r="G277" s="218">
        <f t="shared" si="36"/>
        <v>0</v>
      </c>
      <c r="H277" s="218">
        <f t="shared" si="39"/>
        <v>0</v>
      </c>
      <c r="I277" s="218">
        <f t="shared" si="37"/>
        <v>0</v>
      </c>
      <c r="J277" s="218">
        <f>SUM($H$18:$H277)</f>
        <v>518060.48722969193</v>
      </c>
    </row>
    <row r="278" spans="1:10" x14ac:dyDescent="0.2">
      <c r="A278" s="221">
        <f>IF(Values_Entered,A277+1,"")</f>
        <v>261</v>
      </c>
      <c r="B278" s="220">
        <f t="shared" si="32"/>
        <v>51461</v>
      </c>
      <c r="C278" s="218">
        <f t="shared" si="38"/>
        <v>0</v>
      </c>
      <c r="D278" s="218">
        <f t="shared" si="33"/>
        <v>6221.0853634570531</v>
      </c>
      <c r="E278" s="219">
        <f t="shared" si="34"/>
        <v>0</v>
      </c>
      <c r="F278" s="218">
        <f t="shared" si="35"/>
        <v>0</v>
      </c>
      <c r="G278" s="218">
        <f t="shared" si="36"/>
        <v>0</v>
      </c>
      <c r="H278" s="218">
        <f t="shared" si="39"/>
        <v>0</v>
      </c>
      <c r="I278" s="218">
        <f t="shared" si="37"/>
        <v>0</v>
      </c>
      <c r="J278" s="218">
        <f>SUM($H$18:$H278)</f>
        <v>518060.48722969193</v>
      </c>
    </row>
    <row r="279" spans="1:10" x14ac:dyDescent="0.2">
      <c r="A279" s="221">
        <f>IF(Values_Entered,A278+1,"")</f>
        <v>262</v>
      </c>
      <c r="B279" s="220">
        <f t="shared" si="32"/>
        <v>51491</v>
      </c>
      <c r="C279" s="218">
        <f t="shared" si="38"/>
        <v>0</v>
      </c>
      <c r="D279" s="218">
        <f t="shared" si="33"/>
        <v>6221.0853634570531</v>
      </c>
      <c r="E279" s="219">
        <f t="shared" si="34"/>
        <v>0</v>
      </c>
      <c r="F279" s="218">
        <f t="shared" si="35"/>
        <v>0</v>
      </c>
      <c r="G279" s="218">
        <f t="shared" si="36"/>
        <v>0</v>
      </c>
      <c r="H279" s="218">
        <f t="shared" si="39"/>
        <v>0</v>
      </c>
      <c r="I279" s="218">
        <f t="shared" si="37"/>
        <v>0</v>
      </c>
      <c r="J279" s="218">
        <f>SUM($H$18:$H279)</f>
        <v>518060.48722969193</v>
      </c>
    </row>
    <row r="280" spans="1:10" x14ac:dyDescent="0.2">
      <c r="A280" s="221">
        <f>IF(Values_Entered,A279+1,"")</f>
        <v>263</v>
      </c>
      <c r="B280" s="220">
        <f t="shared" si="32"/>
        <v>51522</v>
      </c>
      <c r="C280" s="218">
        <f t="shared" si="38"/>
        <v>0</v>
      </c>
      <c r="D280" s="218">
        <f t="shared" si="33"/>
        <v>6221.0853634570531</v>
      </c>
      <c r="E280" s="219">
        <f t="shared" si="34"/>
        <v>0</v>
      </c>
      <c r="F280" s="218">
        <f t="shared" si="35"/>
        <v>0</v>
      </c>
      <c r="G280" s="218">
        <f t="shared" si="36"/>
        <v>0</v>
      </c>
      <c r="H280" s="218">
        <f t="shared" si="39"/>
        <v>0</v>
      </c>
      <c r="I280" s="218">
        <f t="shared" si="37"/>
        <v>0</v>
      </c>
      <c r="J280" s="218">
        <f>SUM($H$18:$H280)</f>
        <v>518060.48722969193</v>
      </c>
    </row>
    <row r="281" spans="1:10" x14ac:dyDescent="0.2">
      <c r="A281" s="221">
        <f>IF(Values_Entered,A280+1,"")</f>
        <v>264</v>
      </c>
      <c r="B281" s="220">
        <f t="shared" si="32"/>
        <v>51553</v>
      </c>
      <c r="C281" s="218">
        <f t="shared" si="38"/>
        <v>0</v>
      </c>
      <c r="D281" s="218">
        <f t="shared" si="33"/>
        <v>6221.0853634570531</v>
      </c>
      <c r="E281" s="219">
        <f t="shared" si="34"/>
        <v>0</v>
      </c>
      <c r="F281" s="218">
        <f t="shared" si="35"/>
        <v>0</v>
      </c>
      <c r="G281" s="218">
        <f t="shared" si="36"/>
        <v>0</v>
      </c>
      <c r="H281" s="218">
        <f t="shared" si="39"/>
        <v>0</v>
      </c>
      <c r="I281" s="218">
        <f t="shared" si="37"/>
        <v>0</v>
      </c>
      <c r="J281" s="218">
        <f>SUM($H$18:$H281)</f>
        <v>518060.48722969193</v>
      </c>
    </row>
    <row r="282" spans="1:10" x14ac:dyDescent="0.2">
      <c r="A282" s="221">
        <f>IF(Values_Entered,A281+1,"")</f>
        <v>265</v>
      </c>
      <c r="B282" s="220">
        <f t="shared" si="32"/>
        <v>51581</v>
      </c>
      <c r="C282" s="218">
        <f t="shared" si="38"/>
        <v>0</v>
      </c>
      <c r="D282" s="218">
        <f t="shared" si="33"/>
        <v>6221.0853634570531</v>
      </c>
      <c r="E282" s="219">
        <f t="shared" si="34"/>
        <v>0</v>
      </c>
      <c r="F282" s="218">
        <f t="shared" si="35"/>
        <v>0</v>
      </c>
      <c r="G282" s="218">
        <f t="shared" si="36"/>
        <v>0</v>
      </c>
      <c r="H282" s="218">
        <f t="shared" si="39"/>
        <v>0</v>
      </c>
      <c r="I282" s="218">
        <f t="shared" si="37"/>
        <v>0</v>
      </c>
      <c r="J282" s="218">
        <f>SUM($H$18:$H282)</f>
        <v>518060.48722969193</v>
      </c>
    </row>
    <row r="283" spans="1:10" x14ac:dyDescent="0.2">
      <c r="A283" s="221">
        <f>IF(Values_Entered,A282+1,"")</f>
        <v>266</v>
      </c>
      <c r="B283" s="220">
        <f t="shared" si="32"/>
        <v>51612</v>
      </c>
      <c r="C283" s="218">
        <f t="shared" si="38"/>
        <v>0</v>
      </c>
      <c r="D283" s="218">
        <f t="shared" si="33"/>
        <v>6221.0853634570531</v>
      </c>
      <c r="E283" s="219">
        <f t="shared" si="34"/>
        <v>0</v>
      </c>
      <c r="F283" s="218">
        <f t="shared" si="35"/>
        <v>0</v>
      </c>
      <c r="G283" s="218">
        <f t="shared" si="36"/>
        <v>0</v>
      </c>
      <c r="H283" s="218">
        <f t="shared" si="39"/>
        <v>0</v>
      </c>
      <c r="I283" s="218">
        <f t="shared" si="37"/>
        <v>0</v>
      </c>
      <c r="J283" s="218">
        <f>SUM($H$18:$H283)</f>
        <v>518060.48722969193</v>
      </c>
    </row>
    <row r="284" spans="1:10" x14ac:dyDescent="0.2">
      <c r="A284" s="221">
        <f>IF(Values_Entered,A283+1,"")</f>
        <v>267</v>
      </c>
      <c r="B284" s="220">
        <f t="shared" si="32"/>
        <v>51642</v>
      </c>
      <c r="C284" s="218">
        <f t="shared" si="38"/>
        <v>0</v>
      </c>
      <c r="D284" s="218">
        <f t="shared" si="33"/>
        <v>6221.0853634570531</v>
      </c>
      <c r="E284" s="219">
        <f t="shared" si="34"/>
        <v>0</v>
      </c>
      <c r="F284" s="218">
        <f t="shared" si="35"/>
        <v>0</v>
      </c>
      <c r="G284" s="218">
        <f t="shared" si="36"/>
        <v>0</v>
      </c>
      <c r="H284" s="218">
        <f t="shared" si="39"/>
        <v>0</v>
      </c>
      <c r="I284" s="218">
        <f t="shared" si="37"/>
        <v>0</v>
      </c>
      <c r="J284" s="218">
        <f>SUM($H$18:$H284)</f>
        <v>518060.48722969193</v>
      </c>
    </row>
    <row r="285" spans="1:10" x14ac:dyDescent="0.2">
      <c r="A285" s="221">
        <f>IF(Values_Entered,A284+1,"")</f>
        <v>268</v>
      </c>
      <c r="B285" s="220">
        <f t="shared" si="32"/>
        <v>51673</v>
      </c>
      <c r="C285" s="218">
        <f t="shared" si="38"/>
        <v>0</v>
      </c>
      <c r="D285" s="218">
        <f t="shared" si="33"/>
        <v>6221.0853634570531</v>
      </c>
      <c r="E285" s="219">
        <f t="shared" si="34"/>
        <v>0</v>
      </c>
      <c r="F285" s="218">
        <f t="shared" si="35"/>
        <v>0</v>
      </c>
      <c r="G285" s="218">
        <f t="shared" si="36"/>
        <v>0</v>
      </c>
      <c r="H285" s="218">
        <f t="shared" si="39"/>
        <v>0</v>
      </c>
      <c r="I285" s="218">
        <f t="shared" si="37"/>
        <v>0</v>
      </c>
      <c r="J285" s="218">
        <f>SUM($H$18:$H285)</f>
        <v>518060.48722969193</v>
      </c>
    </row>
    <row r="286" spans="1:10" x14ac:dyDescent="0.2">
      <c r="A286" s="221">
        <f>IF(Values_Entered,A285+1,"")</f>
        <v>269</v>
      </c>
      <c r="B286" s="220">
        <f t="shared" si="32"/>
        <v>51703</v>
      </c>
      <c r="C286" s="218">
        <f t="shared" si="38"/>
        <v>0</v>
      </c>
      <c r="D286" s="218">
        <f t="shared" si="33"/>
        <v>6221.0853634570531</v>
      </c>
      <c r="E286" s="219">
        <f t="shared" si="34"/>
        <v>0</v>
      </c>
      <c r="F286" s="218">
        <f t="shared" si="35"/>
        <v>0</v>
      </c>
      <c r="G286" s="218">
        <f t="shared" si="36"/>
        <v>0</v>
      </c>
      <c r="H286" s="218">
        <f t="shared" si="39"/>
        <v>0</v>
      </c>
      <c r="I286" s="218">
        <f t="shared" si="37"/>
        <v>0</v>
      </c>
      <c r="J286" s="218">
        <f>SUM($H$18:$H286)</f>
        <v>518060.48722969193</v>
      </c>
    </row>
    <row r="287" spans="1:10" x14ac:dyDescent="0.2">
      <c r="A287" s="221">
        <f>IF(Values_Entered,A286+1,"")</f>
        <v>270</v>
      </c>
      <c r="B287" s="220">
        <f t="shared" si="32"/>
        <v>51734</v>
      </c>
      <c r="C287" s="218">
        <f t="shared" si="38"/>
        <v>0</v>
      </c>
      <c r="D287" s="218">
        <f t="shared" si="33"/>
        <v>6221.0853634570531</v>
      </c>
      <c r="E287" s="219">
        <f t="shared" si="34"/>
        <v>0</v>
      </c>
      <c r="F287" s="218">
        <f t="shared" si="35"/>
        <v>0</v>
      </c>
      <c r="G287" s="218">
        <f t="shared" si="36"/>
        <v>0</v>
      </c>
      <c r="H287" s="218">
        <f t="shared" si="39"/>
        <v>0</v>
      </c>
      <c r="I287" s="218">
        <f t="shared" si="37"/>
        <v>0</v>
      </c>
      <c r="J287" s="218">
        <f>SUM($H$18:$H287)</f>
        <v>518060.48722969193</v>
      </c>
    </row>
    <row r="288" spans="1:10" x14ac:dyDescent="0.2">
      <c r="A288" s="221">
        <f>IF(Values_Entered,A287+1,"")</f>
        <v>271</v>
      </c>
      <c r="B288" s="220">
        <f t="shared" si="32"/>
        <v>51765</v>
      </c>
      <c r="C288" s="218">
        <f t="shared" si="38"/>
        <v>0</v>
      </c>
      <c r="D288" s="218">
        <f t="shared" si="33"/>
        <v>6221.0853634570531</v>
      </c>
      <c r="E288" s="219">
        <f t="shared" si="34"/>
        <v>0</v>
      </c>
      <c r="F288" s="218">
        <f t="shared" si="35"/>
        <v>0</v>
      </c>
      <c r="G288" s="218">
        <f t="shared" si="36"/>
        <v>0</v>
      </c>
      <c r="H288" s="218">
        <f t="shared" si="39"/>
        <v>0</v>
      </c>
      <c r="I288" s="218">
        <f t="shared" si="37"/>
        <v>0</v>
      </c>
      <c r="J288" s="218">
        <f>SUM($H$18:$H288)</f>
        <v>518060.48722969193</v>
      </c>
    </row>
    <row r="289" spans="1:10" x14ac:dyDescent="0.2">
      <c r="A289" s="221">
        <f>IF(Values_Entered,A288+1,"")</f>
        <v>272</v>
      </c>
      <c r="B289" s="220">
        <f t="shared" si="32"/>
        <v>51795</v>
      </c>
      <c r="C289" s="218">
        <f t="shared" si="38"/>
        <v>0</v>
      </c>
      <c r="D289" s="218">
        <f t="shared" si="33"/>
        <v>6221.0853634570531</v>
      </c>
      <c r="E289" s="219">
        <f t="shared" si="34"/>
        <v>0</v>
      </c>
      <c r="F289" s="218">
        <f t="shared" si="35"/>
        <v>0</v>
      </c>
      <c r="G289" s="218">
        <f t="shared" si="36"/>
        <v>0</v>
      </c>
      <c r="H289" s="218">
        <f t="shared" si="39"/>
        <v>0</v>
      </c>
      <c r="I289" s="218">
        <f t="shared" si="37"/>
        <v>0</v>
      </c>
      <c r="J289" s="218">
        <f>SUM($H$18:$H289)</f>
        <v>518060.48722969193</v>
      </c>
    </row>
    <row r="290" spans="1:10" x14ac:dyDescent="0.2">
      <c r="A290" s="221">
        <f>IF(Values_Entered,A289+1,"")</f>
        <v>273</v>
      </c>
      <c r="B290" s="220">
        <f t="shared" si="32"/>
        <v>51826</v>
      </c>
      <c r="C290" s="218">
        <f t="shared" si="38"/>
        <v>0</v>
      </c>
      <c r="D290" s="218">
        <f t="shared" si="33"/>
        <v>6221.0853634570531</v>
      </c>
      <c r="E290" s="219">
        <f t="shared" si="34"/>
        <v>0</v>
      </c>
      <c r="F290" s="218">
        <f t="shared" si="35"/>
        <v>0</v>
      </c>
      <c r="G290" s="218">
        <f t="shared" si="36"/>
        <v>0</v>
      </c>
      <c r="H290" s="218">
        <f t="shared" si="39"/>
        <v>0</v>
      </c>
      <c r="I290" s="218">
        <f t="shared" si="37"/>
        <v>0</v>
      </c>
      <c r="J290" s="218">
        <f>SUM($H$18:$H290)</f>
        <v>518060.48722969193</v>
      </c>
    </row>
    <row r="291" spans="1:10" x14ac:dyDescent="0.2">
      <c r="A291" s="221">
        <f>IF(Values_Entered,A290+1,"")</f>
        <v>274</v>
      </c>
      <c r="B291" s="220">
        <f t="shared" si="32"/>
        <v>51856</v>
      </c>
      <c r="C291" s="218">
        <f t="shared" si="38"/>
        <v>0</v>
      </c>
      <c r="D291" s="218">
        <f t="shared" si="33"/>
        <v>6221.0853634570531</v>
      </c>
      <c r="E291" s="219">
        <f t="shared" si="34"/>
        <v>0</v>
      </c>
      <c r="F291" s="218">
        <f t="shared" si="35"/>
        <v>0</v>
      </c>
      <c r="G291" s="218">
        <f t="shared" si="36"/>
        <v>0</v>
      </c>
      <c r="H291" s="218">
        <f t="shared" si="39"/>
        <v>0</v>
      </c>
      <c r="I291" s="218">
        <f t="shared" si="37"/>
        <v>0</v>
      </c>
      <c r="J291" s="218">
        <f>SUM($H$18:$H291)</f>
        <v>518060.48722969193</v>
      </c>
    </row>
    <row r="292" spans="1:10" x14ac:dyDescent="0.2">
      <c r="A292" s="221">
        <f>IF(Values_Entered,A291+1,"")</f>
        <v>275</v>
      </c>
      <c r="B292" s="220">
        <f t="shared" si="32"/>
        <v>51887</v>
      </c>
      <c r="C292" s="218">
        <f t="shared" si="38"/>
        <v>0</v>
      </c>
      <c r="D292" s="218">
        <f t="shared" si="33"/>
        <v>6221.0853634570531</v>
      </c>
      <c r="E292" s="219">
        <f t="shared" si="34"/>
        <v>0</v>
      </c>
      <c r="F292" s="218">
        <f t="shared" si="35"/>
        <v>0</v>
      </c>
      <c r="G292" s="218">
        <f t="shared" si="36"/>
        <v>0</v>
      </c>
      <c r="H292" s="218">
        <f t="shared" si="39"/>
        <v>0</v>
      </c>
      <c r="I292" s="218">
        <f t="shared" si="37"/>
        <v>0</v>
      </c>
      <c r="J292" s="218">
        <f>SUM($H$18:$H292)</f>
        <v>518060.48722969193</v>
      </c>
    </row>
    <row r="293" spans="1:10" x14ac:dyDescent="0.2">
      <c r="A293" s="221">
        <f>IF(Values_Entered,A292+1,"")</f>
        <v>276</v>
      </c>
      <c r="B293" s="220">
        <f t="shared" si="32"/>
        <v>51918</v>
      </c>
      <c r="C293" s="218">
        <f t="shared" si="38"/>
        <v>0</v>
      </c>
      <c r="D293" s="218">
        <f t="shared" si="33"/>
        <v>6221.0853634570531</v>
      </c>
      <c r="E293" s="219">
        <f t="shared" si="34"/>
        <v>0</v>
      </c>
      <c r="F293" s="218">
        <f t="shared" si="35"/>
        <v>0</v>
      </c>
      <c r="G293" s="218">
        <f t="shared" si="36"/>
        <v>0</v>
      </c>
      <c r="H293" s="218">
        <f t="shared" si="39"/>
        <v>0</v>
      </c>
      <c r="I293" s="218">
        <f t="shared" si="37"/>
        <v>0</v>
      </c>
      <c r="J293" s="218">
        <f>SUM($H$18:$H293)</f>
        <v>518060.48722969193</v>
      </c>
    </row>
    <row r="294" spans="1:10" x14ac:dyDescent="0.2">
      <c r="A294" s="221">
        <f>IF(Values_Entered,A293+1,"")</f>
        <v>277</v>
      </c>
      <c r="B294" s="220">
        <f t="shared" si="32"/>
        <v>51946</v>
      </c>
      <c r="C294" s="218">
        <f t="shared" si="38"/>
        <v>0</v>
      </c>
      <c r="D294" s="218">
        <f t="shared" si="33"/>
        <v>6221.0853634570531</v>
      </c>
      <c r="E294" s="219">
        <f t="shared" si="34"/>
        <v>0</v>
      </c>
      <c r="F294" s="218">
        <f t="shared" si="35"/>
        <v>0</v>
      </c>
      <c r="G294" s="218">
        <f t="shared" si="36"/>
        <v>0</v>
      </c>
      <c r="H294" s="218">
        <f t="shared" si="39"/>
        <v>0</v>
      </c>
      <c r="I294" s="218">
        <f t="shared" si="37"/>
        <v>0</v>
      </c>
      <c r="J294" s="218">
        <f>SUM($H$18:$H294)</f>
        <v>518060.48722969193</v>
      </c>
    </row>
    <row r="295" spans="1:10" x14ac:dyDescent="0.2">
      <c r="A295" s="221">
        <f>IF(Values_Entered,A294+1,"")</f>
        <v>278</v>
      </c>
      <c r="B295" s="220">
        <f t="shared" si="32"/>
        <v>51977</v>
      </c>
      <c r="C295" s="218">
        <f t="shared" si="38"/>
        <v>0</v>
      </c>
      <c r="D295" s="218">
        <f t="shared" si="33"/>
        <v>6221.0853634570531</v>
      </c>
      <c r="E295" s="219">
        <f t="shared" si="34"/>
        <v>0</v>
      </c>
      <c r="F295" s="218">
        <f t="shared" si="35"/>
        <v>0</v>
      </c>
      <c r="G295" s="218">
        <f t="shared" si="36"/>
        <v>0</v>
      </c>
      <c r="H295" s="218">
        <f t="shared" si="39"/>
        <v>0</v>
      </c>
      <c r="I295" s="218">
        <f t="shared" si="37"/>
        <v>0</v>
      </c>
      <c r="J295" s="218">
        <f>SUM($H$18:$H295)</f>
        <v>518060.48722969193</v>
      </c>
    </row>
    <row r="296" spans="1:10" x14ac:dyDescent="0.2">
      <c r="A296" s="221">
        <f>IF(Values_Entered,A295+1,"")</f>
        <v>279</v>
      </c>
      <c r="B296" s="220">
        <f t="shared" si="32"/>
        <v>52007</v>
      </c>
      <c r="C296" s="218">
        <f t="shared" si="38"/>
        <v>0</v>
      </c>
      <c r="D296" s="218">
        <f t="shared" si="33"/>
        <v>6221.0853634570531</v>
      </c>
      <c r="E296" s="219">
        <f t="shared" si="34"/>
        <v>0</v>
      </c>
      <c r="F296" s="218">
        <f t="shared" si="35"/>
        <v>0</v>
      </c>
      <c r="G296" s="218">
        <f t="shared" si="36"/>
        <v>0</v>
      </c>
      <c r="H296" s="218">
        <f t="shared" si="39"/>
        <v>0</v>
      </c>
      <c r="I296" s="218">
        <f t="shared" si="37"/>
        <v>0</v>
      </c>
      <c r="J296" s="218">
        <f>SUM($H$18:$H296)</f>
        <v>518060.48722969193</v>
      </c>
    </row>
    <row r="297" spans="1:10" x14ac:dyDescent="0.2">
      <c r="A297" s="221">
        <f>IF(Values_Entered,A296+1,"")</f>
        <v>280</v>
      </c>
      <c r="B297" s="220">
        <f t="shared" si="32"/>
        <v>52038</v>
      </c>
      <c r="C297" s="218">
        <f t="shared" si="38"/>
        <v>0</v>
      </c>
      <c r="D297" s="218">
        <f t="shared" si="33"/>
        <v>6221.0853634570531</v>
      </c>
      <c r="E297" s="219">
        <f t="shared" si="34"/>
        <v>0</v>
      </c>
      <c r="F297" s="218">
        <f t="shared" si="35"/>
        <v>0</v>
      </c>
      <c r="G297" s="218">
        <f t="shared" si="36"/>
        <v>0</v>
      </c>
      <c r="H297" s="218">
        <f t="shared" si="39"/>
        <v>0</v>
      </c>
      <c r="I297" s="218">
        <f t="shared" si="37"/>
        <v>0</v>
      </c>
      <c r="J297" s="218">
        <f>SUM($H$18:$H297)</f>
        <v>518060.48722969193</v>
      </c>
    </row>
    <row r="298" spans="1:10" x14ac:dyDescent="0.2">
      <c r="A298" s="221">
        <f>IF(Values_Entered,A297+1,"")</f>
        <v>281</v>
      </c>
      <c r="B298" s="220">
        <f t="shared" si="32"/>
        <v>52068</v>
      </c>
      <c r="C298" s="218">
        <f t="shared" si="38"/>
        <v>0</v>
      </c>
      <c r="D298" s="218">
        <f t="shared" si="33"/>
        <v>6221.0853634570531</v>
      </c>
      <c r="E298" s="219">
        <f t="shared" si="34"/>
        <v>0</v>
      </c>
      <c r="F298" s="218">
        <f t="shared" si="35"/>
        <v>0</v>
      </c>
      <c r="G298" s="218">
        <f t="shared" si="36"/>
        <v>0</v>
      </c>
      <c r="H298" s="218">
        <f t="shared" si="39"/>
        <v>0</v>
      </c>
      <c r="I298" s="218">
        <f t="shared" si="37"/>
        <v>0</v>
      </c>
      <c r="J298" s="218">
        <f>SUM($H$18:$H298)</f>
        <v>518060.48722969193</v>
      </c>
    </row>
    <row r="299" spans="1:10" x14ac:dyDescent="0.2">
      <c r="A299" s="221">
        <f>IF(Values_Entered,A298+1,"")</f>
        <v>282</v>
      </c>
      <c r="B299" s="220">
        <f t="shared" si="32"/>
        <v>52099</v>
      </c>
      <c r="C299" s="218">
        <f t="shared" si="38"/>
        <v>0</v>
      </c>
      <c r="D299" s="218">
        <f t="shared" si="33"/>
        <v>6221.0853634570531</v>
      </c>
      <c r="E299" s="219">
        <f t="shared" si="34"/>
        <v>0</v>
      </c>
      <c r="F299" s="218">
        <f t="shared" si="35"/>
        <v>0</v>
      </c>
      <c r="G299" s="218">
        <f t="shared" si="36"/>
        <v>0</v>
      </c>
      <c r="H299" s="218">
        <f t="shared" si="39"/>
        <v>0</v>
      </c>
      <c r="I299" s="218">
        <f t="shared" si="37"/>
        <v>0</v>
      </c>
      <c r="J299" s="218">
        <f>SUM($H$18:$H299)</f>
        <v>518060.48722969193</v>
      </c>
    </row>
    <row r="300" spans="1:10" x14ac:dyDescent="0.2">
      <c r="A300" s="221">
        <f>IF(Values_Entered,A299+1,"")</f>
        <v>283</v>
      </c>
      <c r="B300" s="220">
        <f t="shared" si="32"/>
        <v>52130</v>
      </c>
      <c r="C300" s="218">
        <f t="shared" si="38"/>
        <v>0</v>
      </c>
      <c r="D300" s="218">
        <f t="shared" si="33"/>
        <v>6221.0853634570531</v>
      </c>
      <c r="E300" s="219">
        <f t="shared" si="34"/>
        <v>0</v>
      </c>
      <c r="F300" s="218">
        <f t="shared" si="35"/>
        <v>0</v>
      </c>
      <c r="G300" s="218">
        <f t="shared" si="36"/>
        <v>0</v>
      </c>
      <c r="H300" s="218">
        <f t="shared" si="39"/>
        <v>0</v>
      </c>
      <c r="I300" s="218">
        <f t="shared" si="37"/>
        <v>0</v>
      </c>
      <c r="J300" s="218">
        <f>SUM($H$18:$H300)</f>
        <v>518060.48722969193</v>
      </c>
    </row>
    <row r="301" spans="1:10" x14ac:dyDescent="0.2">
      <c r="A301" s="221">
        <f>IF(Values_Entered,A300+1,"")</f>
        <v>284</v>
      </c>
      <c r="B301" s="220">
        <f t="shared" si="32"/>
        <v>52160</v>
      </c>
      <c r="C301" s="218">
        <f t="shared" si="38"/>
        <v>0</v>
      </c>
      <c r="D301" s="218">
        <f t="shared" si="33"/>
        <v>6221.0853634570531</v>
      </c>
      <c r="E301" s="219">
        <f t="shared" si="34"/>
        <v>0</v>
      </c>
      <c r="F301" s="218">
        <f t="shared" si="35"/>
        <v>0</v>
      </c>
      <c r="G301" s="218">
        <f t="shared" si="36"/>
        <v>0</v>
      </c>
      <c r="H301" s="218">
        <f t="shared" si="39"/>
        <v>0</v>
      </c>
      <c r="I301" s="218">
        <f t="shared" si="37"/>
        <v>0</v>
      </c>
      <c r="J301" s="218">
        <f>SUM($H$18:$H301)</f>
        <v>518060.48722969193</v>
      </c>
    </row>
    <row r="302" spans="1:10" x14ac:dyDescent="0.2">
      <c r="A302" s="221">
        <f>IF(Values_Entered,A301+1,"")</f>
        <v>285</v>
      </c>
      <c r="B302" s="220">
        <f t="shared" si="32"/>
        <v>52191</v>
      </c>
      <c r="C302" s="218">
        <f t="shared" si="38"/>
        <v>0</v>
      </c>
      <c r="D302" s="218">
        <f t="shared" si="33"/>
        <v>6221.0853634570531</v>
      </c>
      <c r="E302" s="219">
        <f t="shared" si="34"/>
        <v>0</v>
      </c>
      <c r="F302" s="218">
        <f t="shared" si="35"/>
        <v>0</v>
      </c>
      <c r="G302" s="218">
        <f t="shared" si="36"/>
        <v>0</v>
      </c>
      <c r="H302" s="218">
        <f t="shared" si="39"/>
        <v>0</v>
      </c>
      <c r="I302" s="218">
        <f t="shared" si="37"/>
        <v>0</v>
      </c>
      <c r="J302" s="218">
        <f>SUM($H$18:$H302)</f>
        <v>518060.48722969193</v>
      </c>
    </row>
    <row r="303" spans="1:10" x14ac:dyDescent="0.2">
      <c r="A303" s="221">
        <f>IF(Values_Entered,A302+1,"")</f>
        <v>286</v>
      </c>
      <c r="B303" s="220">
        <f t="shared" si="32"/>
        <v>52221</v>
      </c>
      <c r="C303" s="218">
        <f t="shared" si="38"/>
        <v>0</v>
      </c>
      <c r="D303" s="218">
        <f t="shared" si="33"/>
        <v>6221.0853634570531</v>
      </c>
      <c r="E303" s="219">
        <f t="shared" si="34"/>
        <v>0</v>
      </c>
      <c r="F303" s="218">
        <f t="shared" si="35"/>
        <v>0</v>
      </c>
      <c r="G303" s="218">
        <f t="shared" si="36"/>
        <v>0</v>
      </c>
      <c r="H303" s="218">
        <f t="shared" si="39"/>
        <v>0</v>
      </c>
      <c r="I303" s="218">
        <f t="shared" si="37"/>
        <v>0</v>
      </c>
      <c r="J303" s="218">
        <f>SUM($H$18:$H303)</f>
        <v>518060.48722969193</v>
      </c>
    </row>
    <row r="304" spans="1:10" x14ac:dyDescent="0.2">
      <c r="A304" s="221">
        <f>IF(Values_Entered,A303+1,"")</f>
        <v>287</v>
      </c>
      <c r="B304" s="220">
        <f t="shared" si="32"/>
        <v>52252</v>
      </c>
      <c r="C304" s="218">
        <f t="shared" si="38"/>
        <v>0</v>
      </c>
      <c r="D304" s="218">
        <f t="shared" si="33"/>
        <v>6221.0853634570531</v>
      </c>
      <c r="E304" s="219">
        <f t="shared" si="34"/>
        <v>0</v>
      </c>
      <c r="F304" s="218">
        <f t="shared" si="35"/>
        <v>0</v>
      </c>
      <c r="G304" s="218">
        <f t="shared" si="36"/>
        <v>0</v>
      </c>
      <c r="H304" s="218">
        <f t="shared" si="39"/>
        <v>0</v>
      </c>
      <c r="I304" s="218">
        <f t="shared" si="37"/>
        <v>0</v>
      </c>
      <c r="J304" s="218">
        <f>SUM($H$18:$H304)</f>
        <v>518060.48722969193</v>
      </c>
    </row>
    <row r="305" spans="1:10" x14ac:dyDescent="0.2">
      <c r="A305" s="221">
        <f>IF(Values_Entered,A304+1,"")</f>
        <v>288</v>
      </c>
      <c r="B305" s="220">
        <f t="shared" si="32"/>
        <v>52283</v>
      </c>
      <c r="C305" s="218">
        <f t="shared" si="38"/>
        <v>0</v>
      </c>
      <c r="D305" s="218">
        <f t="shared" si="33"/>
        <v>6221.0853634570531</v>
      </c>
      <c r="E305" s="219">
        <f t="shared" si="34"/>
        <v>0</v>
      </c>
      <c r="F305" s="218">
        <f t="shared" si="35"/>
        <v>0</v>
      </c>
      <c r="G305" s="218">
        <f t="shared" si="36"/>
        <v>0</v>
      </c>
      <c r="H305" s="218">
        <f t="shared" si="39"/>
        <v>0</v>
      </c>
      <c r="I305" s="218">
        <f t="shared" si="37"/>
        <v>0</v>
      </c>
      <c r="J305" s="218">
        <f>SUM($H$18:$H305)</f>
        <v>518060.48722969193</v>
      </c>
    </row>
    <row r="306" spans="1:10" x14ac:dyDescent="0.2">
      <c r="A306" s="221">
        <f>IF(Values_Entered,A305+1,"")</f>
        <v>289</v>
      </c>
      <c r="B306" s="220">
        <f t="shared" si="32"/>
        <v>52311</v>
      </c>
      <c r="C306" s="218">
        <f t="shared" si="38"/>
        <v>0</v>
      </c>
      <c r="D306" s="218">
        <f t="shared" si="33"/>
        <v>6221.0853634570531</v>
      </c>
      <c r="E306" s="219">
        <f t="shared" si="34"/>
        <v>0</v>
      </c>
      <c r="F306" s="218">
        <f t="shared" si="35"/>
        <v>0</v>
      </c>
      <c r="G306" s="218">
        <f t="shared" si="36"/>
        <v>0</v>
      </c>
      <c r="H306" s="218">
        <f t="shared" si="39"/>
        <v>0</v>
      </c>
      <c r="I306" s="218">
        <f t="shared" si="37"/>
        <v>0</v>
      </c>
      <c r="J306" s="218">
        <f>SUM($H$18:$H306)</f>
        <v>518060.48722969193</v>
      </c>
    </row>
    <row r="307" spans="1:10" x14ac:dyDescent="0.2">
      <c r="A307" s="221">
        <f>IF(Values_Entered,A306+1,"")</f>
        <v>290</v>
      </c>
      <c r="B307" s="220">
        <f t="shared" si="32"/>
        <v>52342</v>
      </c>
      <c r="C307" s="218">
        <f t="shared" si="38"/>
        <v>0</v>
      </c>
      <c r="D307" s="218">
        <f t="shared" si="33"/>
        <v>6221.0853634570531</v>
      </c>
      <c r="E307" s="219">
        <f t="shared" si="34"/>
        <v>0</v>
      </c>
      <c r="F307" s="218">
        <f t="shared" si="35"/>
        <v>0</v>
      </c>
      <c r="G307" s="218">
        <f t="shared" si="36"/>
        <v>0</v>
      </c>
      <c r="H307" s="218">
        <f t="shared" si="39"/>
        <v>0</v>
      </c>
      <c r="I307" s="218">
        <f t="shared" si="37"/>
        <v>0</v>
      </c>
      <c r="J307" s="218">
        <f>SUM($H$18:$H307)</f>
        <v>518060.48722969193</v>
      </c>
    </row>
    <row r="308" spans="1:10" x14ac:dyDescent="0.2">
      <c r="A308" s="221">
        <f>IF(Values_Entered,A307+1,"")</f>
        <v>291</v>
      </c>
      <c r="B308" s="220">
        <f t="shared" si="32"/>
        <v>52372</v>
      </c>
      <c r="C308" s="218">
        <f t="shared" si="38"/>
        <v>0</v>
      </c>
      <c r="D308" s="218">
        <f t="shared" si="33"/>
        <v>6221.0853634570531</v>
      </c>
      <c r="E308" s="219">
        <f t="shared" si="34"/>
        <v>0</v>
      </c>
      <c r="F308" s="218">
        <f t="shared" si="35"/>
        <v>0</v>
      </c>
      <c r="G308" s="218">
        <f t="shared" si="36"/>
        <v>0</v>
      </c>
      <c r="H308" s="218">
        <f t="shared" si="39"/>
        <v>0</v>
      </c>
      <c r="I308" s="218">
        <f t="shared" si="37"/>
        <v>0</v>
      </c>
      <c r="J308" s="218">
        <f>SUM($H$18:$H308)</f>
        <v>518060.48722969193</v>
      </c>
    </row>
    <row r="309" spans="1:10" x14ac:dyDescent="0.2">
      <c r="A309" s="221">
        <f>IF(Values_Entered,A308+1,"")</f>
        <v>292</v>
      </c>
      <c r="B309" s="220">
        <f t="shared" si="32"/>
        <v>52403</v>
      </c>
      <c r="C309" s="218">
        <f t="shared" si="38"/>
        <v>0</v>
      </c>
      <c r="D309" s="218">
        <f t="shared" si="33"/>
        <v>6221.0853634570531</v>
      </c>
      <c r="E309" s="219">
        <f t="shared" si="34"/>
        <v>0</v>
      </c>
      <c r="F309" s="218">
        <f t="shared" si="35"/>
        <v>0</v>
      </c>
      <c r="G309" s="218">
        <f t="shared" si="36"/>
        <v>0</v>
      </c>
      <c r="H309" s="218">
        <f t="shared" si="39"/>
        <v>0</v>
      </c>
      <c r="I309" s="218">
        <f t="shared" si="37"/>
        <v>0</v>
      </c>
      <c r="J309" s="218">
        <f>SUM($H$18:$H309)</f>
        <v>518060.48722969193</v>
      </c>
    </row>
    <row r="310" spans="1:10" x14ac:dyDescent="0.2">
      <c r="A310" s="221">
        <f>IF(Values_Entered,A309+1,"")</f>
        <v>293</v>
      </c>
      <c r="B310" s="220">
        <f t="shared" si="32"/>
        <v>52433</v>
      </c>
      <c r="C310" s="218">
        <f t="shared" si="38"/>
        <v>0</v>
      </c>
      <c r="D310" s="218">
        <f t="shared" si="33"/>
        <v>6221.0853634570531</v>
      </c>
      <c r="E310" s="219">
        <f t="shared" si="34"/>
        <v>0</v>
      </c>
      <c r="F310" s="218">
        <f t="shared" si="35"/>
        <v>0</v>
      </c>
      <c r="G310" s="218">
        <f t="shared" si="36"/>
        <v>0</v>
      </c>
      <c r="H310" s="218">
        <f t="shared" si="39"/>
        <v>0</v>
      </c>
      <c r="I310" s="218">
        <f t="shared" si="37"/>
        <v>0</v>
      </c>
      <c r="J310" s="218">
        <f>SUM($H$18:$H310)</f>
        <v>518060.48722969193</v>
      </c>
    </row>
    <row r="311" spans="1:10" x14ac:dyDescent="0.2">
      <c r="A311" s="221">
        <f>IF(Values_Entered,A310+1,"")</f>
        <v>294</v>
      </c>
      <c r="B311" s="220">
        <f t="shared" si="32"/>
        <v>52464</v>
      </c>
      <c r="C311" s="218">
        <f t="shared" si="38"/>
        <v>0</v>
      </c>
      <c r="D311" s="218">
        <f t="shared" si="33"/>
        <v>6221.0853634570531</v>
      </c>
      <c r="E311" s="219">
        <f t="shared" si="34"/>
        <v>0</v>
      </c>
      <c r="F311" s="218">
        <f t="shared" si="35"/>
        <v>0</v>
      </c>
      <c r="G311" s="218">
        <f t="shared" si="36"/>
        <v>0</v>
      </c>
      <c r="H311" s="218">
        <f t="shared" si="39"/>
        <v>0</v>
      </c>
      <c r="I311" s="218">
        <f t="shared" si="37"/>
        <v>0</v>
      </c>
      <c r="J311" s="218">
        <f>SUM($H$18:$H311)</f>
        <v>518060.48722969193</v>
      </c>
    </row>
    <row r="312" spans="1:10" x14ac:dyDescent="0.2">
      <c r="A312" s="221">
        <f>IF(Values_Entered,A311+1,"")</f>
        <v>295</v>
      </c>
      <c r="B312" s="220">
        <f t="shared" si="32"/>
        <v>52495</v>
      </c>
      <c r="C312" s="218">
        <f t="shared" si="38"/>
        <v>0</v>
      </c>
      <c r="D312" s="218">
        <f t="shared" si="33"/>
        <v>6221.0853634570531</v>
      </c>
      <c r="E312" s="219">
        <f t="shared" si="34"/>
        <v>0</v>
      </c>
      <c r="F312" s="218">
        <f t="shared" si="35"/>
        <v>0</v>
      </c>
      <c r="G312" s="218">
        <f t="shared" si="36"/>
        <v>0</v>
      </c>
      <c r="H312" s="218">
        <f t="shared" si="39"/>
        <v>0</v>
      </c>
      <c r="I312" s="218">
        <f t="shared" si="37"/>
        <v>0</v>
      </c>
      <c r="J312" s="218">
        <f>SUM($H$18:$H312)</f>
        <v>518060.48722969193</v>
      </c>
    </row>
    <row r="313" spans="1:10" x14ac:dyDescent="0.2">
      <c r="A313" s="221">
        <f>IF(Values_Entered,A312+1,"")</f>
        <v>296</v>
      </c>
      <c r="B313" s="220">
        <f t="shared" si="32"/>
        <v>52525</v>
      </c>
      <c r="C313" s="218">
        <f t="shared" si="38"/>
        <v>0</v>
      </c>
      <c r="D313" s="218">
        <f t="shared" si="33"/>
        <v>6221.0853634570531</v>
      </c>
      <c r="E313" s="219">
        <f t="shared" si="34"/>
        <v>0</v>
      </c>
      <c r="F313" s="218">
        <f t="shared" si="35"/>
        <v>0</v>
      </c>
      <c r="G313" s="218">
        <f t="shared" si="36"/>
        <v>0</v>
      </c>
      <c r="H313" s="218">
        <f t="shared" si="39"/>
        <v>0</v>
      </c>
      <c r="I313" s="218">
        <f t="shared" si="37"/>
        <v>0</v>
      </c>
      <c r="J313" s="218">
        <f>SUM($H$18:$H313)</f>
        <v>518060.48722969193</v>
      </c>
    </row>
    <row r="314" spans="1:10" x14ac:dyDescent="0.2">
      <c r="A314" s="221">
        <f>IF(Values_Entered,A313+1,"")</f>
        <v>297</v>
      </c>
      <c r="B314" s="220">
        <f t="shared" si="32"/>
        <v>52556</v>
      </c>
      <c r="C314" s="218">
        <f t="shared" si="38"/>
        <v>0</v>
      </c>
      <c r="D314" s="218">
        <f t="shared" si="33"/>
        <v>6221.0853634570531</v>
      </c>
      <c r="E314" s="219">
        <f t="shared" si="34"/>
        <v>0</v>
      </c>
      <c r="F314" s="218">
        <f t="shared" si="35"/>
        <v>0</v>
      </c>
      <c r="G314" s="218">
        <f t="shared" si="36"/>
        <v>0</v>
      </c>
      <c r="H314" s="218">
        <f t="shared" si="39"/>
        <v>0</v>
      </c>
      <c r="I314" s="218">
        <f t="shared" si="37"/>
        <v>0</v>
      </c>
      <c r="J314" s="218">
        <f>SUM($H$18:$H314)</f>
        <v>518060.48722969193</v>
      </c>
    </row>
    <row r="315" spans="1:10" x14ac:dyDescent="0.2">
      <c r="A315" s="221">
        <f>IF(Values_Entered,A314+1,"")</f>
        <v>298</v>
      </c>
      <c r="B315" s="220">
        <f t="shared" si="32"/>
        <v>52586</v>
      </c>
      <c r="C315" s="218">
        <f t="shared" si="38"/>
        <v>0</v>
      </c>
      <c r="D315" s="218">
        <f t="shared" si="33"/>
        <v>6221.0853634570531</v>
      </c>
      <c r="E315" s="219">
        <f t="shared" si="34"/>
        <v>0</v>
      </c>
      <c r="F315" s="218">
        <f t="shared" si="35"/>
        <v>0</v>
      </c>
      <c r="G315" s="218">
        <f t="shared" si="36"/>
        <v>0</v>
      </c>
      <c r="H315" s="218">
        <f t="shared" si="39"/>
        <v>0</v>
      </c>
      <c r="I315" s="218">
        <f t="shared" si="37"/>
        <v>0</v>
      </c>
      <c r="J315" s="218">
        <f>SUM($H$18:$H315)</f>
        <v>518060.48722969193</v>
      </c>
    </row>
    <row r="316" spans="1:10" x14ac:dyDescent="0.2">
      <c r="A316" s="221">
        <f>IF(Values_Entered,A315+1,"")</f>
        <v>299</v>
      </c>
      <c r="B316" s="220">
        <f t="shared" si="32"/>
        <v>52617</v>
      </c>
      <c r="C316" s="218">
        <f t="shared" si="38"/>
        <v>0</v>
      </c>
      <c r="D316" s="218">
        <f t="shared" si="33"/>
        <v>6221.0853634570531</v>
      </c>
      <c r="E316" s="219">
        <f t="shared" si="34"/>
        <v>0</v>
      </c>
      <c r="F316" s="218">
        <f t="shared" si="35"/>
        <v>0</v>
      </c>
      <c r="G316" s="218">
        <f t="shared" si="36"/>
        <v>0</v>
      </c>
      <c r="H316" s="218">
        <f t="shared" si="39"/>
        <v>0</v>
      </c>
      <c r="I316" s="218">
        <f t="shared" si="37"/>
        <v>0</v>
      </c>
      <c r="J316" s="218">
        <f>SUM($H$18:$H316)</f>
        <v>518060.48722969193</v>
      </c>
    </row>
    <row r="317" spans="1:10" x14ac:dyDescent="0.2">
      <c r="A317" s="221">
        <f>IF(Values_Entered,A316+1,"")</f>
        <v>300</v>
      </c>
      <c r="B317" s="220">
        <f t="shared" si="32"/>
        <v>52648</v>
      </c>
      <c r="C317" s="218">
        <f t="shared" si="38"/>
        <v>0</v>
      </c>
      <c r="D317" s="218">
        <f t="shared" si="33"/>
        <v>6221.0853634570531</v>
      </c>
      <c r="E317" s="219">
        <f t="shared" si="34"/>
        <v>0</v>
      </c>
      <c r="F317" s="218">
        <f t="shared" si="35"/>
        <v>0</v>
      </c>
      <c r="G317" s="218">
        <f t="shared" si="36"/>
        <v>0</v>
      </c>
      <c r="H317" s="218">
        <f t="shared" si="39"/>
        <v>0</v>
      </c>
      <c r="I317" s="218">
        <f t="shared" si="37"/>
        <v>0</v>
      </c>
      <c r="J317" s="218">
        <f>SUM($H$18:$H317)</f>
        <v>518060.48722969193</v>
      </c>
    </row>
    <row r="318" spans="1:10" x14ac:dyDescent="0.2">
      <c r="A318" s="221">
        <f>IF(Values_Entered,A317+1,"")</f>
        <v>301</v>
      </c>
      <c r="B318" s="220">
        <f t="shared" si="32"/>
        <v>52677</v>
      </c>
      <c r="C318" s="218">
        <f t="shared" si="38"/>
        <v>0</v>
      </c>
      <c r="D318" s="218">
        <f t="shared" si="33"/>
        <v>6221.0853634570531</v>
      </c>
      <c r="E318" s="219">
        <f t="shared" si="34"/>
        <v>0</v>
      </c>
      <c r="F318" s="218">
        <f t="shared" si="35"/>
        <v>0</v>
      </c>
      <c r="G318" s="218">
        <f t="shared" si="36"/>
        <v>0</v>
      </c>
      <c r="H318" s="218">
        <f t="shared" si="39"/>
        <v>0</v>
      </c>
      <c r="I318" s="218">
        <f t="shared" si="37"/>
        <v>0</v>
      </c>
      <c r="J318" s="218">
        <f>SUM($H$18:$H318)</f>
        <v>518060.48722969193</v>
      </c>
    </row>
    <row r="319" spans="1:10" x14ac:dyDescent="0.2">
      <c r="A319" s="221">
        <f>IF(Values_Entered,A318+1,"")</f>
        <v>302</v>
      </c>
      <c r="B319" s="220">
        <f t="shared" si="32"/>
        <v>52708</v>
      </c>
      <c r="C319" s="218">
        <f t="shared" si="38"/>
        <v>0</v>
      </c>
      <c r="D319" s="218">
        <f t="shared" si="33"/>
        <v>6221.0853634570531</v>
      </c>
      <c r="E319" s="219">
        <f t="shared" si="34"/>
        <v>0</v>
      </c>
      <c r="F319" s="218">
        <f t="shared" si="35"/>
        <v>0</v>
      </c>
      <c r="G319" s="218">
        <f t="shared" si="36"/>
        <v>0</v>
      </c>
      <c r="H319" s="218">
        <f t="shared" si="39"/>
        <v>0</v>
      </c>
      <c r="I319" s="218">
        <f t="shared" si="37"/>
        <v>0</v>
      </c>
      <c r="J319" s="218">
        <f>SUM($H$18:$H319)</f>
        <v>518060.48722969193</v>
      </c>
    </row>
    <row r="320" spans="1:10" x14ac:dyDescent="0.2">
      <c r="A320" s="221">
        <f>IF(Values_Entered,A319+1,"")</f>
        <v>303</v>
      </c>
      <c r="B320" s="220">
        <f t="shared" si="32"/>
        <v>52738</v>
      </c>
      <c r="C320" s="218">
        <f t="shared" si="38"/>
        <v>0</v>
      </c>
      <c r="D320" s="218">
        <f t="shared" si="33"/>
        <v>6221.0853634570531</v>
      </c>
      <c r="E320" s="219">
        <f t="shared" si="34"/>
        <v>0</v>
      </c>
      <c r="F320" s="218">
        <f t="shared" si="35"/>
        <v>0</v>
      </c>
      <c r="G320" s="218">
        <f t="shared" si="36"/>
        <v>0</v>
      </c>
      <c r="H320" s="218">
        <f t="shared" si="39"/>
        <v>0</v>
      </c>
      <c r="I320" s="218">
        <f t="shared" si="37"/>
        <v>0</v>
      </c>
      <c r="J320" s="218">
        <f>SUM($H$18:$H320)</f>
        <v>518060.48722969193</v>
      </c>
    </row>
    <row r="321" spans="1:10" x14ac:dyDescent="0.2">
      <c r="A321" s="221">
        <f>IF(Values_Entered,A320+1,"")</f>
        <v>304</v>
      </c>
      <c r="B321" s="220">
        <f t="shared" si="32"/>
        <v>52769</v>
      </c>
      <c r="C321" s="218">
        <f t="shared" si="38"/>
        <v>0</v>
      </c>
      <c r="D321" s="218">
        <f t="shared" si="33"/>
        <v>6221.0853634570531</v>
      </c>
      <c r="E321" s="219">
        <f t="shared" si="34"/>
        <v>0</v>
      </c>
      <c r="F321" s="218">
        <f t="shared" si="35"/>
        <v>0</v>
      </c>
      <c r="G321" s="218">
        <f t="shared" si="36"/>
        <v>0</v>
      </c>
      <c r="H321" s="218">
        <f t="shared" si="39"/>
        <v>0</v>
      </c>
      <c r="I321" s="218">
        <f t="shared" si="37"/>
        <v>0</v>
      </c>
      <c r="J321" s="218">
        <f>SUM($H$18:$H321)</f>
        <v>518060.48722969193</v>
      </c>
    </row>
    <row r="322" spans="1:10" x14ac:dyDescent="0.2">
      <c r="A322" s="221">
        <f>IF(Values_Entered,A321+1,"")</f>
        <v>305</v>
      </c>
      <c r="B322" s="220">
        <f t="shared" si="32"/>
        <v>52799</v>
      </c>
      <c r="C322" s="218">
        <f t="shared" si="38"/>
        <v>0</v>
      </c>
      <c r="D322" s="218">
        <f t="shared" si="33"/>
        <v>6221.0853634570531</v>
      </c>
      <c r="E322" s="219">
        <f t="shared" si="34"/>
        <v>0</v>
      </c>
      <c r="F322" s="218">
        <f t="shared" si="35"/>
        <v>0</v>
      </c>
      <c r="G322" s="218">
        <f t="shared" si="36"/>
        <v>0</v>
      </c>
      <c r="H322" s="218">
        <f t="shared" si="39"/>
        <v>0</v>
      </c>
      <c r="I322" s="218">
        <f t="shared" si="37"/>
        <v>0</v>
      </c>
      <c r="J322" s="218">
        <f>SUM($H$18:$H322)</f>
        <v>518060.48722969193</v>
      </c>
    </row>
    <row r="323" spans="1:10" x14ac:dyDescent="0.2">
      <c r="A323" s="221">
        <f>IF(Values_Entered,A322+1,"")</f>
        <v>306</v>
      </c>
      <c r="B323" s="220">
        <f t="shared" si="32"/>
        <v>52830</v>
      </c>
      <c r="C323" s="218">
        <f t="shared" si="38"/>
        <v>0</v>
      </c>
      <c r="D323" s="218">
        <f t="shared" si="33"/>
        <v>6221.0853634570531</v>
      </c>
      <c r="E323" s="219">
        <f t="shared" si="34"/>
        <v>0</v>
      </c>
      <c r="F323" s="218">
        <f t="shared" si="35"/>
        <v>0</v>
      </c>
      <c r="G323" s="218">
        <f t="shared" si="36"/>
        <v>0</v>
      </c>
      <c r="H323" s="218">
        <f t="shared" si="39"/>
        <v>0</v>
      </c>
      <c r="I323" s="218">
        <f t="shared" si="37"/>
        <v>0</v>
      </c>
      <c r="J323" s="218">
        <f>SUM($H$18:$H323)</f>
        <v>518060.48722969193</v>
      </c>
    </row>
    <row r="324" spans="1:10" x14ac:dyDescent="0.2">
      <c r="A324" s="221">
        <f>IF(Values_Entered,A323+1,"")</f>
        <v>307</v>
      </c>
      <c r="B324" s="220">
        <f t="shared" si="32"/>
        <v>52861</v>
      </c>
      <c r="C324" s="218">
        <f t="shared" si="38"/>
        <v>0</v>
      </c>
      <c r="D324" s="218">
        <f t="shared" si="33"/>
        <v>6221.0853634570531</v>
      </c>
      <c r="E324" s="219">
        <f t="shared" si="34"/>
        <v>0</v>
      </c>
      <c r="F324" s="218">
        <f t="shared" si="35"/>
        <v>0</v>
      </c>
      <c r="G324" s="218">
        <f t="shared" si="36"/>
        <v>0</v>
      </c>
      <c r="H324" s="218">
        <f t="shared" si="39"/>
        <v>0</v>
      </c>
      <c r="I324" s="218">
        <f t="shared" si="37"/>
        <v>0</v>
      </c>
      <c r="J324" s="218">
        <f>SUM($H$18:$H324)</f>
        <v>518060.48722969193</v>
      </c>
    </row>
    <row r="325" spans="1:10" x14ac:dyDescent="0.2">
      <c r="A325" s="221">
        <f>IF(Values_Entered,A324+1,"")</f>
        <v>308</v>
      </c>
      <c r="B325" s="220">
        <f t="shared" si="32"/>
        <v>52891</v>
      </c>
      <c r="C325" s="218">
        <f t="shared" si="38"/>
        <v>0</v>
      </c>
      <c r="D325" s="218">
        <f t="shared" si="33"/>
        <v>6221.0853634570531</v>
      </c>
      <c r="E325" s="219">
        <f t="shared" si="34"/>
        <v>0</v>
      </c>
      <c r="F325" s="218">
        <f t="shared" si="35"/>
        <v>0</v>
      </c>
      <c r="G325" s="218">
        <f t="shared" si="36"/>
        <v>0</v>
      </c>
      <c r="H325" s="218">
        <f t="shared" si="39"/>
        <v>0</v>
      </c>
      <c r="I325" s="218">
        <f t="shared" si="37"/>
        <v>0</v>
      </c>
      <c r="J325" s="218">
        <f>SUM($H$18:$H325)</f>
        <v>518060.48722969193</v>
      </c>
    </row>
    <row r="326" spans="1:10" x14ac:dyDescent="0.2">
      <c r="A326" s="221">
        <f>IF(Values_Entered,A325+1,"")</f>
        <v>309</v>
      </c>
      <c r="B326" s="220">
        <f t="shared" si="32"/>
        <v>52922</v>
      </c>
      <c r="C326" s="218">
        <f t="shared" si="38"/>
        <v>0</v>
      </c>
      <c r="D326" s="218">
        <f t="shared" si="33"/>
        <v>6221.0853634570531</v>
      </c>
      <c r="E326" s="219">
        <f t="shared" si="34"/>
        <v>0</v>
      </c>
      <c r="F326" s="218">
        <f t="shared" si="35"/>
        <v>0</v>
      </c>
      <c r="G326" s="218">
        <f t="shared" si="36"/>
        <v>0</v>
      </c>
      <c r="H326" s="218">
        <f t="shared" si="39"/>
        <v>0</v>
      </c>
      <c r="I326" s="218">
        <f t="shared" si="37"/>
        <v>0</v>
      </c>
      <c r="J326" s="218">
        <f>SUM($H$18:$H326)</f>
        <v>518060.48722969193</v>
      </c>
    </row>
    <row r="327" spans="1:10" x14ac:dyDescent="0.2">
      <c r="A327" s="221">
        <f>IF(Values_Entered,A326+1,"")</f>
        <v>310</v>
      </c>
      <c r="B327" s="220">
        <f t="shared" si="32"/>
        <v>52952</v>
      </c>
      <c r="C327" s="218">
        <f t="shared" si="38"/>
        <v>0</v>
      </c>
      <c r="D327" s="218">
        <f t="shared" si="33"/>
        <v>6221.0853634570531</v>
      </c>
      <c r="E327" s="219">
        <f t="shared" si="34"/>
        <v>0</v>
      </c>
      <c r="F327" s="218">
        <f t="shared" si="35"/>
        <v>0</v>
      </c>
      <c r="G327" s="218">
        <f t="shared" si="36"/>
        <v>0</v>
      </c>
      <c r="H327" s="218">
        <f t="shared" si="39"/>
        <v>0</v>
      </c>
      <c r="I327" s="218">
        <f t="shared" si="37"/>
        <v>0</v>
      </c>
      <c r="J327" s="218">
        <f>SUM($H$18:$H327)</f>
        <v>518060.48722969193</v>
      </c>
    </row>
    <row r="328" spans="1:10" x14ac:dyDescent="0.2">
      <c r="A328" s="221">
        <f>IF(Values_Entered,A327+1,"")</f>
        <v>311</v>
      </c>
      <c r="B328" s="220">
        <f t="shared" si="32"/>
        <v>52983</v>
      </c>
      <c r="C328" s="218">
        <f t="shared" si="38"/>
        <v>0</v>
      </c>
      <c r="D328" s="218">
        <f t="shared" si="33"/>
        <v>6221.0853634570531</v>
      </c>
      <c r="E328" s="219">
        <f t="shared" si="34"/>
        <v>0</v>
      </c>
      <c r="F328" s="218">
        <f t="shared" si="35"/>
        <v>0</v>
      </c>
      <c r="G328" s="218">
        <f t="shared" si="36"/>
        <v>0</v>
      </c>
      <c r="H328" s="218">
        <f t="shared" si="39"/>
        <v>0</v>
      </c>
      <c r="I328" s="218">
        <f t="shared" si="37"/>
        <v>0</v>
      </c>
      <c r="J328" s="218">
        <f>SUM($H$18:$H328)</f>
        <v>518060.48722969193</v>
      </c>
    </row>
    <row r="329" spans="1:10" x14ac:dyDescent="0.2">
      <c r="A329" s="221">
        <f>IF(Values_Entered,A328+1,"")</f>
        <v>312</v>
      </c>
      <c r="B329" s="220">
        <f t="shared" si="32"/>
        <v>53014</v>
      </c>
      <c r="C329" s="218">
        <f t="shared" si="38"/>
        <v>0</v>
      </c>
      <c r="D329" s="218">
        <f t="shared" si="33"/>
        <v>6221.0853634570531</v>
      </c>
      <c r="E329" s="219">
        <f t="shared" si="34"/>
        <v>0</v>
      </c>
      <c r="F329" s="218">
        <f t="shared" si="35"/>
        <v>0</v>
      </c>
      <c r="G329" s="218">
        <f t="shared" si="36"/>
        <v>0</v>
      </c>
      <c r="H329" s="218">
        <f t="shared" si="39"/>
        <v>0</v>
      </c>
      <c r="I329" s="218">
        <f t="shared" si="37"/>
        <v>0</v>
      </c>
      <c r="J329" s="218">
        <f>SUM($H$18:$H329)</f>
        <v>518060.48722969193</v>
      </c>
    </row>
    <row r="330" spans="1:10" x14ac:dyDescent="0.2">
      <c r="A330" s="221">
        <f>IF(Values_Entered,A329+1,"")</f>
        <v>313</v>
      </c>
      <c r="B330" s="220">
        <f t="shared" si="32"/>
        <v>53042</v>
      </c>
      <c r="C330" s="218">
        <f t="shared" si="38"/>
        <v>0</v>
      </c>
      <c r="D330" s="218">
        <f t="shared" si="33"/>
        <v>6221.0853634570531</v>
      </c>
      <c r="E330" s="219">
        <f t="shared" si="34"/>
        <v>0</v>
      </c>
      <c r="F330" s="218">
        <f t="shared" si="35"/>
        <v>0</v>
      </c>
      <c r="G330" s="218">
        <f t="shared" si="36"/>
        <v>0</v>
      </c>
      <c r="H330" s="218">
        <f t="shared" si="39"/>
        <v>0</v>
      </c>
      <c r="I330" s="218">
        <f t="shared" si="37"/>
        <v>0</v>
      </c>
      <c r="J330" s="218">
        <f>SUM($H$18:$H330)</f>
        <v>518060.48722969193</v>
      </c>
    </row>
    <row r="331" spans="1:10" x14ac:dyDescent="0.2">
      <c r="A331" s="221">
        <f>IF(Values_Entered,A330+1,"")</f>
        <v>314</v>
      </c>
      <c r="B331" s="220">
        <f t="shared" si="32"/>
        <v>53073</v>
      </c>
      <c r="C331" s="218">
        <f t="shared" si="38"/>
        <v>0</v>
      </c>
      <c r="D331" s="218">
        <f t="shared" si="33"/>
        <v>6221.0853634570531</v>
      </c>
      <c r="E331" s="219">
        <f t="shared" si="34"/>
        <v>0</v>
      </c>
      <c r="F331" s="218">
        <f t="shared" si="35"/>
        <v>0</v>
      </c>
      <c r="G331" s="218">
        <f t="shared" si="36"/>
        <v>0</v>
      </c>
      <c r="H331" s="218">
        <f t="shared" si="39"/>
        <v>0</v>
      </c>
      <c r="I331" s="218">
        <f t="shared" si="37"/>
        <v>0</v>
      </c>
      <c r="J331" s="218">
        <f>SUM($H$18:$H331)</f>
        <v>518060.48722969193</v>
      </c>
    </row>
    <row r="332" spans="1:10" x14ac:dyDescent="0.2">
      <c r="A332" s="221">
        <f>IF(Values_Entered,A331+1,"")</f>
        <v>315</v>
      </c>
      <c r="B332" s="220">
        <f t="shared" si="32"/>
        <v>53103</v>
      </c>
      <c r="C332" s="218">
        <f t="shared" si="38"/>
        <v>0</v>
      </c>
      <c r="D332" s="218">
        <f t="shared" si="33"/>
        <v>6221.0853634570531</v>
      </c>
      <c r="E332" s="219">
        <f t="shared" si="34"/>
        <v>0</v>
      </c>
      <c r="F332" s="218">
        <f t="shared" si="35"/>
        <v>0</v>
      </c>
      <c r="G332" s="218">
        <f t="shared" si="36"/>
        <v>0</v>
      </c>
      <c r="H332" s="218">
        <f t="shared" si="39"/>
        <v>0</v>
      </c>
      <c r="I332" s="218">
        <f t="shared" si="37"/>
        <v>0</v>
      </c>
      <c r="J332" s="218">
        <f>SUM($H$18:$H332)</f>
        <v>518060.48722969193</v>
      </c>
    </row>
    <row r="333" spans="1:10" x14ac:dyDescent="0.2">
      <c r="A333" s="221">
        <f>IF(Values_Entered,A332+1,"")</f>
        <v>316</v>
      </c>
      <c r="B333" s="220">
        <f t="shared" si="32"/>
        <v>53134</v>
      </c>
      <c r="C333" s="218">
        <f t="shared" si="38"/>
        <v>0</v>
      </c>
      <c r="D333" s="218">
        <f t="shared" si="33"/>
        <v>6221.0853634570531</v>
      </c>
      <c r="E333" s="219">
        <f t="shared" si="34"/>
        <v>0</v>
      </c>
      <c r="F333" s="218">
        <f t="shared" si="35"/>
        <v>0</v>
      </c>
      <c r="G333" s="218">
        <f t="shared" si="36"/>
        <v>0</v>
      </c>
      <c r="H333" s="218">
        <f t="shared" si="39"/>
        <v>0</v>
      </c>
      <c r="I333" s="218">
        <f t="shared" si="37"/>
        <v>0</v>
      </c>
      <c r="J333" s="218">
        <f>SUM($H$18:$H333)</f>
        <v>518060.48722969193</v>
      </c>
    </row>
    <row r="334" spans="1:10" x14ac:dyDescent="0.2">
      <c r="A334" s="221">
        <f>IF(Values_Entered,A333+1,"")</f>
        <v>317</v>
      </c>
      <c r="B334" s="220">
        <f t="shared" si="32"/>
        <v>53164</v>
      </c>
      <c r="C334" s="218">
        <f t="shared" si="38"/>
        <v>0</v>
      </c>
      <c r="D334" s="218">
        <f t="shared" si="33"/>
        <v>6221.0853634570531</v>
      </c>
      <c r="E334" s="219">
        <f t="shared" si="34"/>
        <v>0</v>
      </c>
      <c r="F334" s="218">
        <f t="shared" si="35"/>
        <v>0</v>
      </c>
      <c r="G334" s="218">
        <f t="shared" si="36"/>
        <v>0</v>
      </c>
      <c r="H334" s="218">
        <f t="shared" si="39"/>
        <v>0</v>
      </c>
      <c r="I334" s="218">
        <f t="shared" si="37"/>
        <v>0</v>
      </c>
      <c r="J334" s="218">
        <f>SUM($H$18:$H334)</f>
        <v>518060.48722969193</v>
      </c>
    </row>
    <row r="335" spans="1:10" x14ac:dyDescent="0.2">
      <c r="A335" s="221">
        <f>IF(Values_Entered,A334+1,"")</f>
        <v>318</v>
      </c>
      <c r="B335" s="220">
        <f t="shared" si="32"/>
        <v>53195</v>
      </c>
      <c r="C335" s="218">
        <f t="shared" si="38"/>
        <v>0</v>
      </c>
      <c r="D335" s="218">
        <f t="shared" si="33"/>
        <v>6221.0853634570531</v>
      </c>
      <c r="E335" s="219">
        <f t="shared" si="34"/>
        <v>0</v>
      </c>
      <c r="F335" s="218">
        <f t="shared" si="35"/>
        <v>0</v>
      </c>
      <c r="G335" s="218">
        <f t="shared" si="36"/>
        <v>0</v>
      </c>
      <c r="H335" s="218">
        <f t="shared" si="39"/>
        <v>0</v>
      </c>
      <c r="I335" s="218">
        <f t="shared" si="37"/>
        <v>0</v>
      </c>
      <c r="J335" s="218">
        <f>SUM($H$18:$H335)</f>
        <v>518060.48722969193</v>
      </c>
    </row>
    <row r="336" spans="1:10" x14ac:dyDescent="0.2">
      <c r="A336" s="221">
        <f>IF(Values_Entered,A335+1,"")</f>
        <v>319</v>
      </c>
      <c r="B336" s="220">
        <f t="shared" si="32"/>
        <v>53226</v>
      </c>
      <c r="C336" s="218">
        <f t="shared" si="38"/>
        <v>0</v>
      </c>
      <c r="D336" s="218">
        <f t="shared" si="33"/>
        <v>6221.0853634570531</v>
      </c>
      <c r="E336" s="219">
        <f t="shared" si="34"/>
        <v>0</v>
      </c>
      <c r="F336" s="218">
        <f t="shared" si="35"/>
        <v>0</v>
      </c>
      <c r="G336" s="218">
        <f t="shared" si="36"/>
        <v>0</v>
      </c>
      <c r="H336" s="218">
        <f t="shared" si="39"/>
        <v>0</v>
      </c>
      <c r="I336" s="218">
        <f t="shared" si="37"/>
        <v>0</v>
      </c>
      <c r="J336" s="218">
        <f>SUM($H$18:$H336)</f>
        <v>518060.48722969193</v>
      </c>
    </row>
    <row r="337" spans="1:10" x14ac:dyDescent="0.2">
      <c r="A337" s="221">
        <f>IF(Values_Entered,A336+1,"")</f>
        <v>320</v>
      </c>
      <c r="B337" s="220">
        <f t="shared" si="32"/>
        <v>53256</v>
      </c>
      <c r="C337" s="218">
        <f t="shared" si="38"/>
        <v>0</v>
      </c>
      <c r="D337" s="218">
        <f t="shared" si="33"/>
        <v>6221.0853634570531</v>
      </c>
      <c r="E337" s="219">
        <f t="shared" si="34"/>
        <v>0</v>
      </c>
      <c r="F337" s="218">
        <f t="shared" si="35"/>
        <v>0</v>
      </c>
      <c r="G337" s="218">
        <f t="shared" si="36"/>
        <v>0</v>
      </c>
      <c r="H337" s="218">
        <f t="shared" si="39"/>
        <v>0</v>
      </c>
      <c r="I337" s="218">
        <f t="shared" si="37"/>
        <v>0</v>
      </c>
      <c r="J337" s="218">
        <f>SUM($H$18:$H337)</f>
        <v>518060.48722969193</v>
      </c>
    </row>
    <row r="338" spans="1:10" x14ac:dyDescent="0.2">
      <c r="A338" s="221">
        <f>IF(Values_Entered,A337+1,"")</f>
        <v>321</v>
      </c>
      <c r="B338" s="220">
        <f t="shared" ref="B338:B401" si="40">IF(Pay_Num&lt;&gt;"",DATE(YEAR(Loan_Start),MONTH(Loan_Start)+(Pay_Num)*12/Num_Pmt_Per_Year,DAY(Loan_Start)),"")</f>
        <v>53287</v>
      </c>
      <c r="C338" s="218">
        <f t="shared" si="38"/>
        <v>0</v>
      </c>
      <c r="D338" s="218">
        <f t="shared" ref="D338:D401" si="41">IF(Pay_Num&lt;&gt;"",Scheduled_Monthly_Payment,"")</f>
        <v>6221.0853634570531</v>
      </c>
      <c r="E338" s="219">
        <f t="shared" ref="E338:E401" si="42">IF(AND(Pay_Num&lt;&gt;"",Sched_Pay+Scheduled_Extra_Payments&lt;Beg_Bal),Scheduled_Extra_Payments,IF(AND(Pay_Num&lt;&gt;"",Beg_Bal-Sched_Pay&gt;0),Beg_Bal-Sched_Pay,IF(Pay_Num&lt;&gt;"",0,"")))</f>
        <v>0</v>
      </c>
      <c r="F338" s="218">
        <f t="shared" ref="F338:F401" si="43">IF(AND(Pay_Num&lt;&gt;"",Sched_Pay+Extra_Pay&lt;Beg_Bal),Sched_Pay+Extra_Pay,IF(Pay_Num&lt;&gt;"",Beg_Bal,""))</f>
        <v>0</v>
      </c>
      <c r="G338" s="218">
        <f t="shared" ref="G338:G401" si="44">IF(Pay_Num&lt;&gt;"",Total_Pay-Int,"")</f>
        <v>0</v>
      </c>
      <c r="H338" s="218">
        <f t="shared" si="39"/>
        <v>0</v>
      </c>
      <c r="I338" s="218">
        <f t="shared" ref="I338:I401" si="45">IF(AND(Pay_Num&lt;&gt;"",Sched_Pay+Extra_Pay&lt;Beg_Bal),Beg_Bal-Princ,IF(Pay_Num&lt;&gt;"",0,""))</f>
        <v>0</v>
      </c>
      <c r="J338" s="218">
        <f>SUM($H$18:$H338)</f>
        <v>518060.48722969193</v>
      </c>
    </row>
    <row r="339" spans="1:10" x14ac:dyDescent="0.2">
      <c r="A339" s="221">
        <f>IF(Values_Entered,A338+1,"")</f>
        <v>322</v>
      </c>
      <c r="B339" s="220">
        <f t="shared" si="40"/>
        <v>53317</v>
      </c>
      <c r="C339" s="218">
        <f t="shared" ref="C339:C402" si="46">IF(Pay_Num&lt;&gt;"",I338,"")</f>
        <v>0</v>
      </c>
      <c r="D339" s="218">
        <f t="shared" si="41"/>
        <v>6221.0853634570531</v>
      </c>
      <c r="E339" s="219">
        <f t="shared" si="42"/>
        <v>0</v>
      </c>
      <c r="F339" s="218">
        <f t="shared" si="43"/>
        <v>0</v>
      </c>
      <c r="G339" s="218">
        <f t="shared" si="44"/>
        <v>0</v>
      </c>
      <c r="H339" s="218">
        <f t="shared" ref="H339:H402" si="47">IF(Pay_Num&lt;&gt;"",Beg_Bal*Interest_Rate/Num_Pmt_Per_Year,"")</f>
        <v>0</v>
      </c>
      <c r="I339" s="218">
        <f t="shared" si="45"/>
        <v>0</v>
      </c>
      <c r="J339" s="218">
        <f>SUM($H$18:$H339)</f>
        <v>518060.48722969193</v>
      </c>
    </row>
    <row r="340" spans="1:10" x14ac:dyDescent="0.2">
      <c r="A340" s="221">
        <f>IF(Values_Entered,A339+1,"")</f>
        <v>323</v>
      </c>
      <c r="B340" s="220">
        <f t="shared" si="40"/>
        <v>53348</v>
      </c>
      <c r="C340" s="218">
        <f t="shared" si="46"/>
        <v>0</v>
      </c>
      <c r="D340" s="218">
        <f t="shared" si="41"/>
        <v>6221.0853634570531</v>
      </c>
      <c r="E340" s="219">
        <f t="shared" si="42"/>
        <v>0</v>
      </c>
      <c r="F340" s="218">
        <f t="shared" si="43"/>
        <v>0</v>
      </c>
      <c r="G340" s="218">
        <f t="shared" si="44"/>
        <v>0</v>
      </c>
      <c r="H340" s="218">
        <f t="shared" si="47"/>
        <v>0</v>
      </c>
      <c r="I340" s="218">
        <f t="shared" si="45"/>
        <v>0</v>
      </c>
      <c r="J340" s="218">
        <f>SUM($H$18:$H340)</f>
        <v>518060.48722969193</v>
      </c>
    </row>
    <row r="341" spans="1:10" x14ac:dyDescent="0.2">
      <c r="A341" s="221">
        <f>IF(Values_Entered,A340+1,"")</f>
        <v>324</v>
      </c>
      <c r="B341" s="220">
        <f t="shared" si="40"/>
        <v>53379</v>
      </c>
      <c r="C341" s="218">
        <f t="shared" si="46"/>
        <v>0</v>
      </c>
      <c r="D341" s="218">
        <f t="shared" si="41"/>
        <v>6221.0853634570531</v>
      </c>
      <c r="E341" s="219">
        <f t="shared" si="42"/>
        <v>0</v>
      </c>
      <c r="F341" s="218">
        <f t="shared" si="43"/>
        <v>0</v>
      </c>
      <c r="G341" s="218">
        <f t="shared" si="44"/>
        <v>0</v>
      </c>
      <c r="H341" s="218">
        <f t="shared" si="47"/>
        <v>0</v>
      </c>
      <c r="I341" s="218">
        <f t="shared" si="45"/>
        <v>0</v>
      </c>
      <c r="J341" s="218">
        <f>SUM($H$18:$H341)</f>
        <v>518060.48722969193</v>
      </c>
    </row>
    <row r="342" spans="1:10" x14ac:dyDescent="0.2">
      <c r="A342" s="221">
        <f>IF(Values_Entered,A341+1,"")</f>
        <v>325</v>
      </c>
      <c r="B342" s="220">
        <f t="shared" si="40"/>
        <v>53407</v>
      </c>
      <c r="C342" s="218">
        <f t="shared" si="46"/>
        <v>0</v>
      </c>
      <c r="D342" s="218">
        <f t="shared" si="41"/>
        <v>6221.0853634570531</v>
      </c>
      <c r="E342" s="219">
        <f t="shared" si="42"/>
        <v>0</v>
      </c>
      <c r="F342" s="218">
        <f t="shared" si="43"/>
        <v>0</v>
      </c>
      <c r="G342" s="218">
        <f t="shared" si="44"/>
        <v>0</v>
      </c>
      <c r="H342" s="218">
        <f t="shared" si="47"/>
        <v>0</v>
      </c>
      <c r="I342" s="218">
        <f t="shared" si="45"/>
        <v>0</v>
      </c>
      <c r="J342" s="218">
        <f>SUM($H$18:$H342)</f>
        <v>518060.48722969193</v>
      </c>
    </row>
    <row r="343" spans="1:10" x14ac:dyDescent="0.2">
      <c r="A343" s="221">
        <f>IF(Values_Entered,A342+1,"")</f>
        <v>326</v>
      </c>
      <c r="B343" s="220">
        <f t="shared" si="40"/>
        <v>53438</v>
      </c>
      <c r="C343" s="218">
        <f t="shared" si="46"/>
        <v>0</v>
      </c>
      <c r="D343" s="218">
        <f t="shared" si="41"/>
        <v>6221.0853634570531</v>
      </c>
      <c r="E343" s="219">
        <f t="shared" si="42"/>
        <v>0</v>
      </c>
      <c r="F343" s="218">
        <f t="shared" si="43"/>
        <v>0</v>
      </c>
      <c r="G343" s="218">
        <f t="shared" si="44"/>
        <v>0</v>
      </c>
      <c r="H343" s="218">
        <f t="shared" si="47"/>
        <v>0</v>
      </c>
      <c r="I343" s="218">
        <f t="shared" si="45"/>
        <v>0</v>
      </c>
      <c r="J343" s="218">
        <f>SUM($H$18:$H343)</f>
        <v>518060.48722969193</v>
      </c>
    </row>
    <row r="344" spans="1:10" x14ac:dyDescent="0.2">
      <c r="A344" s="221">
        <f>IF(Values_Entered,A343+1,"")</f>
        <v>327</v>
      </c>
      <c r="B344" s="220">
        <f t="shared" si="40"/>
        <v>53468</v>
      </c>
      <c r="C344" s="218">
        <f t="shared" si="46"/>
        <v>0</v>
      </c>
      <c r="D344" s="218">
        <f t="shared" si="41"/>
        <v>6221.0853634570531</v>
      </c>
      <c r="E344" s="219">
        <f t="shared" si="42"/>
        <v>0</v>
      </c>
      <c r="F344" s="218">
        <f t="shared" si="43"/>
        <v>0</v>
      </c>
      <c r="G344" s="218">
        <f t="shared" si="44"/>
        <v>0</v>
      </c>
      <c r="H344" s="218">
        <f t="shared" si="47"/>
        <v>0</v>
      </c>
      <c r="I344" s="218">
        <f t="shared" si="45"/>
        <v>0</v>
      </c>
      <c r="J344" s="218">
        <f>SUM($H$18:$H344)</f>
        <v>518060.48722969193</v>
      </c>
    </row>
    <row r="345" spans="1:10" x14ac:dyDescent="0.2">
      <c r="A345" s="221">
        <f>IF(Values_Entered,A344+1,"")</f>
        <v>328</v>
      </c>
      <c r="B345" s="220">
        <f t="shared" si="40"/>
        <v>53499</v>
      </c>
      <c r="C345" s="218">
        <f t="shared" si="46"/>
        <v>0</v>
      </c>
      <c r="D345" s="218">
        <f t="shared" si="41"/>
        <v>6221.0853634570531</v>
      </c>
      <c r="E345" s="219">
        <f t="shared" si="42"/>
        <v>0</v>
      </c>
      <c r="F345" s="218">
        <f t="shared" si="43"/>
        <v>0</v>
      </c>
      <c r="G345" s="218">
        <f t="shared" si="44"/>
        <v>0</v>
      </c>
      <c r="H345" s="218">
        <f t="shared" si="47"/>
        <v>0</v>
      </c>
      <c r="I345" s="218">
        <f t="shared" si="45"/>
        <v>0</v>
      </c>
      <c r="J345" s="218">
        <f>SUM($H$18:$H345)</f>
        <v>518060.48722969193</v>
      </c>
    </row>
    <row r="346" spans="1:10" x14ac:dyDescent="0.2">
      <c r="A346" s="221">
        <f>IF(Values_Entered,A345+1,"")</f>
        <v>329</v>
      </c>
      <c r="B346" s="220">
        <f t="shared" si="40"/>
        <v>53529</v>
      </c>
      <c r="C346" s="218">
        <f t="shared" si="46"/>
        <v>0</v>
      </c>
      <c r="D346" s="218">
        <f t="shared" si="41"/>
        <v>6221.0853634570531</v>
      </c>
      <c r="E346" s="219">
        <f t="shared" si="42"/>
        <v>0</v>
      </c>
      <c r="F346" s="218">
        <f t="shared" si="43"/>
        <v>0</v>
      </c>
      <c r="G346" s="218">
        <f t="shared" si="44"/>
        <v>0</v>
      </c>
      <c r="H346" s="218">
        <f t="shared" si="47"/>
        <v>0</v>
      </c>
      <c r="I346" s="218">
        <f t="shared" si="45"/>
        <v>0</v>
      </c>
      <c r="J346" s="218">
        <f>SUM($H$18:$H346)</f>
        <v>518060.48722969193</v>
      </c>
    </row>
    <row r="347" spans="1:10" x14ac:dyDescent="0.2">
      <c r="A347" s="221">
        <f>IF(Values_Entered,A346+1,"")</f>
        <v>330</v>
      </c>
      <c r="B347" s="220">
        <f t="shared" si="40"/>
        <v>53560</v>
      </c>
      <c r="C347" s="218">
        <f t="shared" si="46"/>
        <v>0</v>
      </c>
      <c r="D347" s="218">
        <f t="shared" si="41"/>
        <v>6221.0853634570531</v>
      </c>
      <c r="E347" s="219">
        <f t="shared" si="42"/>
        <v>0</v>
      </c>
      <c r="F347" s="218">
        <f t="shared" si="43"/>
        <v>0</v>
      </c>
      <c r="G347" s="218">
        <f t="shared" si="44"/>
        <v>0</v>
      </c>
      <c r="H347" s="218">
        <f t="shared" si="47"/>
        <v>0</v>
      </c>
      <c r="I347" s="218">
        <f t="shared" si="45"/>
        <v>0</v>
      </c>
      <c r="J347" s="218">
        <f>SUM($H$18:$H347)</f>
        <v>518060.48722969193</v>
      </c>
    </row>
    <row r="348" spans="1:10" x14ac:dyDescent="0.2">
      <c r="A348" s="221">
        <f>IF(Values_Entered,A347+1,"")</f>
        <v>331</v>
      </c>
      <c r="B348" s="220">
        <f t="shared" si="40"/>
        <v>53591</v>
      </c>
      <c r="C348" s="218">
        <f t="shared" si="46"/>
        <v>0</v>
      </c>
      <c r="D348" s="218">
        <f t="shared" si="41"/>
        <v>6221.0853634570531</v>
      </c>
      <c r="E348" s="219">
        <f t="shared" si="42"/>
        <v>0</v>
      </c>
      <c r="F348" s="218">
        <f t="shared" si="43"/>
        <v>0</v>
      </c>
      <c r="G348" s="218">
        <f t="shared" si="44"/>
        <v>0</v>
      </c>
      <c r="H348" s="218">
        <f t="shared" si="47"/>
        <v>0</v>
      </c>
      <c r="I348" s="218">
        <f t="shared" si="45"/>
        <v>0</v>
      </c>
      <c r="J348" s="218">
        <f>SUM($H$18:$H348)</f>
        <v>518060.48722969193</v>
      </c>
    </row>
    <row r="349" spans="1:10" x14ac:dyDescent="0.2">
      <c r="A349" s="221">
        <f>IF(Values_Entered,A348+1,"")</f>
        <v>332</v>
      </c>
      <c r="B349" s="220">
        <f t="shared" si="40"/>
        <v>53621</v>
      </c>
      <c r="C349" s="218">
        <f t="shared" si="46"/>
        <v>0</v>
      </c>
      <c r="D349" s="218">
        <f t="shared" si="41"/>
        <v>6221.0853634570531</v>
      </c>
      <c r="E349" s="219">
        <f t="shared" si="42"/>
        <v>0</v>
      </c>
      <c r="F349" s="218">
        <f t="shared" si="43"/>
        <v>0</v>
      </c>
      <c r="G349" s="218">
        <f t="shared" si="44"/>
        <v>0</v>
      </c>
      <c r="H349" s="218">
        <f t="shared" si="47"/>
        <v>0</v>
      </c>
      <c r="I349" s="218">
        <f t="shared" si="45"/>
        <v>0</v>
      </c>
      <c r="J349" s="218">
        <f>SUM($H$18:$H349)</f>
        <v>518060.48722969193</v>
      </c>
    </row>
    <row r="350" spans="1:10" x14ac:dyDescent="0.2">
      <c r="A350" s="221">
        <f>IF(Values_Entered,A349+1,"")</f>
        <v>333</v>
      </c>
      <c r="B350" s="220">
        <f t="shared" si="40"/>
        <v>53652</v>
      </c>
      <c r="C350" s="218">
        <f t="shared" si="46"/>
        <v>0</v>
      </c>
      <c r="D350" s="218">
        <f t="shared" si="41"/>
        <v>6221.0853634570531</v>
      </c>
      <c r="E350" s="219">
        <f t="shared" si="42"/>
        <v>0</v>
      </c>
      <c r="F350" s="218">
        <f t="shared" si="43"/>
        <v>0</v>
      </c>
      <c r="G350" s="218">
        <f t="shared" si="44"/>
        <v>0</v>
      </c>
      <c r="H350" s="218">
        <f t="shared" si="47"/>
        <v>0</v>
      </c>
      <c r="I350" s="218">
        <f t="shared" si="45"/>
        <v>0</v>
      </c>
      <c r="J350" s="218">
        <f>SUM($H$18:$H350)</f>
        <v>518060.48722969193</v>
      </c>
    </row>
    <row r="351" spans="1:10" x14ac:dyDescent="0.2">
      <c r="A351" s="221">
        <f>IF(Values_Entered,A350+1,"")</f>
        <v>334</v>
      </c>
      <c r="B351" s="220">
        <f t="shared" si="40"/>
        <v>53682</v>
      </c>
      <c r="C351" s="218">
        <f t="shared" si="46"/>
        <v>0</v>
      </c>
      <c r="D351" s="218">
        <f t="shared" si="41"/>
        <v>6221.0853634570531</v>
      </c>
      <c r="E351" s="219">
        <f t="shared" si="42"/>
        <v>0</v>
      </c>
      <c r="F351" s="218">
        <f t="shared" si="43"/>
        <v>0</v>
      </c>
      <c r="G351" s="218">
        <f t="shared" si="44"/>
        <v>0</v>
      </c>
      <c r="H351" s="218">
        <f t="shared" si="47"/>
        <v>0</v>
      </c>
      <c r="I351" s="218">
        <f t="shared" si="45"/>
        <v>0</v>
      </c>
      <c r="J351" s="218">
        <f>SUM($H$18:$H351)</f>
        <v>518060.48722969193</v>
      </c>
    </row>
    <row r="352" spans="1:10" x14ac:dyDescent="0.2">
      <c r="A352" s="221">
        <f>IF(Values_Entered,A351+1,"")</f>
        <v>335</v>
      </c>
      <c r="B352" s="220">
        <f t="shared" si="40"/>
        <v>53713</v>
      </c>
      <c r="C352" s="218">
        <f t="shared" si="46"/>
        <v>0</v>
      </c>
      <c r="D352" s="218">
        <f t="shared" si="41"/>
        <v>6221.0853634570531</v>
      </c>
      <c r="E352" s="219">
        <f t="shared" si="42"/>
        <v>0</v>
      </c>
      <c r="F352" s="218">
        <f t="shared" si="43"/>
        <v>0</v>
      </c>
      <c r="G352" s="218">
        <f t="shared" si="44"/>
        <v>0</v>
      </c>
      <c r="H352" s="218">
        <f t="shared" si="47"/>
        <v>0</v>
      </c>
      <c r="I352" s="218">
        <f t="shared" si="45"/>
        <v>0</v>
      </c>
      <c r="J352" s="218">
        <f>SUM($H$18:$H352)</f>
        <v>518060.48722969193</v>
      </c>
    </row>
    <row r="353" spans="1:10" x14ac:dyDescent="0.2">
      <c r="A353" s="221">
        <f>IF(Values_Entered,A352+1,"")</f>
        <v>336</v>
      </c>
      <c r="B353" s="220">
        <f t="shared" si="40"/>
        <v>53744</v>
      </c>
      <c r="C353" s="218">
        <f t="shared" si="46"/>
        <v>0</v>
      </c>
      <c r="D353" s="218">
        <f t="shared" si="41"/>
        <v>6221.0853634570531</v>
      </c>
      <c r="E353" s="219">
        <f t="shared" si="42"/>
        <v>0</v>
      </c>
      <c r="F353" s="218">
        <f t="shared" si="43"/>
        <v>0</v>
      </c>
      <c r="G353" s="218">
        <f t="shared" si="44"/>
        <v>0</v>
      </c>
      <c r="H353" s="218">
        <f t="shared" si="47"/>
        <v>0</v>
      </c>
      <c r="I353" s="218">
        <f t="shared" si="45"/>
        <v>0</v>
      </c>
      <c r="J353" s="218">
        <f>SUM($H$18:$H353)</f>
        <v>518060.48722969193</v>
      </c>
    </row>
    <row r="354" spans="1:10" x14ac:dyDescent="0.2">
      <c r="A354" s="221">
        <f>IF(Values_Entered,A353+1,"")</f>
        <v>337</v>
      </c>
      <c r="B354" s="220">
        <f t="shared" si="40"/>
        <v>53772</v>
      </c>
      <c r="C354" s="218">
        <f t="shared" si="46"/>
        <v>0</v>
      </c>
      <c r="D354" s="218">
        <f t="shared" si="41"/>
        <v>6221.0853634570531</v>
      </c>
      <c r="E354" s="219">
        <f t="shared" si="42"/>
        <v>0</v>
      </c>
      <c r="F354" s="218">
        <f t="shared" si="43"/>
        <v>0</v>
      </c>
      <c r="G354" s="218">
        <f t="shared" si="44"/>
        <v>0</v>
      </c>
      <c r="H354" s="218">
        <f t="shared" si="47"/>
        <v>0</v>
      </c>
      <c r="I354" s="218">
        <f t="shared" si="45"/>
        <v>0</v>
      </c>
      <c r="J354" s="218">
        <f>SUM($H$18:$H354)</f>
        <v>518060.48722969193</v>
      </c>
    </row>
    <row r="355" spans="1:10" x14ac:dyDescent="0.2">
      <c r="A355" s="221">
        <f>IF(Values_Entered,A354+1,"")</f>
        <v>338</v>
      </c>
      <c r="B355" s="220">
        <f t="shared" si="40"/>
        <v>53803</v>
      </c>
      <c r="C355" s="218">
        <f t="shared" si="46"/>
        <v>0</v>
      </c>
      <c r="D355" s="218">
        <f t="shared" si="41"/>
        <v>6221.0853634570531</v>
      </c>
      <c r="E355" s="219">
        <f t="shared" si="42"/>
        <v>0</v>
      </c>
      <c r="F355" s="218">
        <f t="shared" si="43"/>
        <v>0</v>
      </c>
      <c r="G355" s="218">
        <f t="shared" si="44"/>
        <v>0</v>
      </c>
      <c r="H355" s="218">
        <f t="shared" si="47"/>
        <v>0</v>
      </c>
      <c r="I355" s="218">
        <f t="shared" si="45"/>
        <v>0</v>
      </c>
      <c r="J355" s="218">
        <f>SUM($H$18:$H355)</f>
        <v>518060.48722969193</v>
      </c>
    </row>
    <row r="356" spans="1:10" x14ac:dyDescent="0.2">
      <c r="A356" s="221">
        <f>IF(Values_Entered,A355+1,"")</f>
        <v>339</v>
      </c>
      <c r="B356" s="220">
        <f t="shared" si="40"/>
        <v>53833</v>
      </c>
      <c r="C356" s="218">
        <f t="shared" si="46"/>
        <v>0</v>
      </c>
      <c r="D356" s="218">
        <f t="shared" si="41"/>
        <v>6221.0853634570531</v>
      </c>
      <c r="E356" s="219">
        <f t="shared" si="42"/>
        <v>0</v>
      </c>
      <c r="F356" s="218">
        <f t="shared" si="43"/>
        <v>0</v>
      </c>
      <c r="G356" s="218">
        <f t="shared" si="44"/>
        <v>0</v>
      </c>
      <c r="H356" s="218">
        <f t="shared" si="47"/>
        <v>0</v>
      </c>
      <c r="I356" s="218">
        <f t="shared" si="45"/>
        <v>0</v>
      </c>
      <c r="J356" s="218">
        <f>SUM($H$18:$H356)</f>
        <v>518060.48722969193</v>
      </c>
    </row>
    <row r="357" spans="1:10" x14ac:dyDescent="0.2">
      <c r="A357" s="221">
        <f>IF(Values_Entered,A356+1,"")</f>
        <v>340</v>
      </c>
      <c r="B357" s="220">
        <f t="shared" si="40"/>
        <v>53864</v>
      </c>
      <c r="C357" s="218">
        <f t="shared" si="46"/>
        <v>0</v>
      </c>
      <c r="D357" s="218">
        <f t="shared" si="41"/>
        <v>6221.0853634570531</v>
      </c>
      <c r="E357" s="219">
        <f t="shared" si="42"/>
        <v>0</v>
      </c>
      <c r="F357" s="218">
        <f t="shared" si="43"/>
        <v>0</v>
      </c>
      <c r="G357" s="218">
        <f t="shared" si="44"/>
        <v>0</v>
      </c>
      <c r="H357" s="218">
        <f t="shared" si="47"/>
        <v>0</v>
      </c>
      <c r="I357" s="218">
        <f t="shared" si="45"/>
        <v>0</v>
      </c>
      <c r="J357" s="218">
        <f>SUM($H$18:$H357)</f>
        <v>518060.48722969193</v>
      </c>
    </row>
    <row r="358" spans="1:10" x14ac:dyDescent="0.2">
      <c r="A358" s="221">
        <f>IF(Values_Entered,A357+1,"")</f>
        <v>341</v>
      </c>
      <c r="B358" s="220">
        <f t="shared" si="40"/>
        <v>53894</v>
      </c>
      <c r="C358" s="218">
        <f t="shared" si="46"/>
        <v>0</v>
      </c>
      <c r="D358" s="218">
        <f t="shared" si="41"/>
        <v>6221.0853634570531</v>
      </c>
      <c r="E358" s="219">
        <f t="shared" si="42"/>
        <v>0</v>
      </c>
      <c r="F358" s="218">
        <f t="shared" si="43"/>
        <v>0</v>
      </c>
      <c r="G358" s="218">
        <f t="shared" si="44"/>
        <v>0</v>
      </c>
      <c r="H358" s="218">
        <f t="shared" si="47"/>
        <v>0</v>
      </c>
      <c r="I358" s="218">
        <f t="shared" si="45"/>
        <v>0</v>
      </c>
      <c r="J358" s="218">
        <f>SUM($H$18:$H358)</f>
        <v>518060.48722969193</v>
      </c>
    </row>
    <row r="359" spans="1:10" x14ac:dyDescent="0.2">
      <c r="A359" s="221">
        <f>IF(Values_Entered,A358+1,"")</f>
        <v>342</v>
      </c>
      <c r="B359" s="220">
        <f t="shared" si="40"/>
        <v>53925</v>
      </c>
      <c r="C359" s="218">
        <f t="shared" si="46"/>
        <v>0</v>
      </c>
      <c r="D359" s="218">
        <f t="shared" si="41"/>
        <v>6221.0853634570531</v>
      </c>
      <c r="E359" s="219">
        <f t="shared" si="42"/>
        <v>0</v>
      </c>
      <c r="F359" s="218">
        <f t="shared" si="43"/>
        <v>0</v>
      </c>
      <c r="G359" s="218">
        <f t="shared" si="44"/>
        <v>0</v>
      </c>
      <c r="H359" s="218">
        <f t="shared" si="47"/>
        <v>0</v>
      </c>
      <c r="I359" s="218">
        <f t="shared" si="45"/>
        <v>0</v>
      </c>
      <c r="J359" s="218">
        <f>SUM($H$18:$H359)</f>
        <v>518060.48722969193</v>
      </c>
    </row>
    <row r="360" spans="1:10" x14ac:dyDescent="0.2">
      <c r="A360" s="221">
        <f>IF(Values_Entered,A359+1,"")</f>
        <v>343</v>
      </c>
      <c r="B360" s="220">
        <f t="shared" si="40"/>
        <v>53956</v>
      </c>
      <c r="C360" s="218">
        <f t="shared" si="46"/>
        <v>0</v>
      </c>
      <c r="D360" s="218">
        <f t="shared" si="41"/>
        <v>6221.0853634570531</v>
      </c>
      <c r="E360" s="219">
        <f t="shared" si="42"/>
        <v>0</v>
      </c>
      <c r="F360" s="218">
        <f t="shared" si="43"/>
        <v>0</v>
      </c>
      <c r="G360" s="218">
        <f t="shared" si="44"/>
        <v>0</v>
      </c>
      <c r="H360" s="218">
        <f t="shared" si="47"/>
        <v>0</v>
      </c>
      <c r="I360" s="218">
        <f t="shared" si="45"/>
        <v>0</v>
      </c>
      <c r="J360" s="218">
        <f>SUM($H$18:$H360)</f>
        <v>518060.48722969193</v>
      </c>
    </row>
    <row r="361" spans="1:10" x14ac:dyDescent="0.2">
      <c r="A361" s="221">
        <f>IF(Values_Entered,A360+1,"")</f>
        <v>344</v>
      </c>
      <c r="B361" s="220">
        <f t="shared" si="40"/>
        <v>53986</v>
      </c>
      <c r="C361" s="218">
        <f t="shared" si="46"/>
        <v>0</v>
      </c>
      <c r="D361" s="218">
        <f t="shared" si="41"/>
        <v>6221.0853634570531</v>
      </c>
      <c r="E361" s="219">
        <f t="shared" si="42"/>
        <v>0</v>
      </c>
      <c r="F361" s="218">
        <f t="shared" si="43"/>
        <v>0</v>
      </c>
      <c r="G361" s="218">
        <f t="shared" si="44"/>
        <v>0</v>
      </c>
      <c r="H361" s="218">
        <f t="shared" si="47"/>
        <v>0</v>
      </c>
      <c r="I361" s="218">
        <f t="shared" si="45"/>
        <v>0</v>
      </c>
      <c r="J361" s="218">
        <f>SUM($H$18:$H361)</f>
        <v>518060.48722969193</v>
      </c>
    </row>
    <row r="362" spans="1:10" x14ac:dyDescent="0.2">
      <c r="A362" s="221">
        <f>IF(Values_Entered,A361+1,"")</f>
        <v>345</v>
      </c>
      <c r="B362" s="220">
        <f t="shared" si="40"/>
        <v>54017</v>
      </c>
      <c r="C362" s="218">
        <f t="shared" si="46"/>
        <v>0</v>
      </c>
      <c r="D362" s="218">
        <f t="shared" si="41"/>
        <v>6221.0853634570531</v>
      </c>
      <c r="E362" s="219">
        <f t="shared" si="42"/>
        <v>0</v>
      </c>
      <c r="F362" s="218">
        <f t="shared" si="43"/>
        <v>0</v>
      </c>
      <c r="G362" s="218">
        <f t="shared" si="44"/>
        <v>0</v>
      </c>
      <c r="H362" s="218">
        <f t="shared" si="47"/>
        <v>0</v>
      </c>
      <c r="I362" s="218">
        <f t="shared" si="45"/>
        <v>0</v>
      </c>
      <c r="J362" s="218">
        <f>SUM($H$18:$H362)</f>
        <v>518060.48722969193</v>
      </c>
    </row>
    <row r="363" spans="1:10" x14ac:dyDescent="0.2">
      <c r="A363" s="221">
        <f>IF(Values_Entered,A362+1,"")</f>
        <v>346</v>
      </c>
      <c r="B363" s="220">
        <f t="shared" si="40"/>
        <v>54047</v>
      </c>
      <c r="C363" s="218">
        <f t="shared" si="46"/>
        <v>0</v>
      </c>
      <c r="D363" s="218">
        <f t="shared" si="41"/>
        <v>6221.0853634570531</v>
      </c>
      <c r="E363" s="219">
        <f t="shared" si="42"/>
        <v>0</v>
      </c>
      <c r="F363" s="218">
        <f t="shared" si="43"/>
        <v>0</v>
      </c>
      <c r="G363" s="218">
        <f t="shared" si="44"/>
        <v>0</v>
      </c>
      <c r="H363" s="218">
        <f t="shared" si="47"/>
        <v>0</v>
      </c>
      <c r="I363" s="218">
        <f t="shared" si="45"/>
        <v>0</v>
      </c>
      <c r="J363" s="218">
        <f>SUM($H$18:$H363)</f>
        <v>518060.48722969193</v>
      </c>
    </row>
    <row r="364" spans="1:10" x14ac:dyDescent="0.2">
      <c r="A364" s="221">
        <f>IF(Values_Entered,A363+1,"")</f>
        <v>347</v>
      </c>
      <c r="B364" s="220">
        <f t="shared" si="40"/>
        <v>54078</v>
      </c>
      <c r="C364" s="218">
        <f t="shared" si="46"/>
        <v>0</v>
      </c>
      <c r="D364" s="218">
        <f t="shared" si="41"/>
        <v>6221.0853634570531</v>
      </c>
      <c r="E364" s="219">
        <f t="shared" si="42"/>
        <v>0</v>
      </c>
      <c r="F364" s="218">
        <f t="shared" si="43"/>
        <v>0</v>
      </c>
      <c r="G364" s="218">
        <f t="shared" si="44"/>
        <v>0</v>
      </c>
      <c r="H364" s="218">
        <f t="shared" si="47"/>
        <v>0</v>
      </c>
      <c r="I364" s="218">
        <f t="shared" si="45"/>
        <v>0</v>
      </c>
      <c r="J364" s="218">
        <f>SUM($H$18:$H364)</f>
        <v>518060.48722969193</v>
      </c>
    </row>
    <row r="365" spans="1:10" x14ac:dyDescent="0.2">
      <c r="A365" s="221">
        <f>IF(Values_Entered,A364+1,"")</f>
        <v>348</v>
      </c>
      <c r="B365" s="220">
        <f t="shared" si="40"/>
        <v>54109</v>
      </c>
      <c r="C365" s="218">
        <f t="shared" si="46"/>
        <v>0</v>
      </c>
      <c r="D365" s="218">
        <f t="shared" si="41"/>
        <v>6221.0853634570531</v>
      </c>
      <c r="E365" s="219">
        <f t="shared" si="42"/>
        <v>0</v>
      </c>
      <c r="F365" s="218">
        <f t="shared" si="43"/>
        <v>0</v>
      </c>
      <c r="G365" s="218">
        <f t="shared" si="44"/>
        <v>0</v>
      </c>
      <c r="H365" s="218">
        <f t="shared" si="47"/>
        <v>0</v>
      </c>
      <c r="I365" s="218">
        <f t="shared" si="45"/>
        <v>0</v>
      </c>
      <c r="J365" s="218">
        <f>SUM($H$18:$H365)</f>
        <v>518060.48722969193</v>
      </c>
    </row>
    <row r="366" spans="1:10" x14ac:dyDescent="0.2">
      <c r="A366" s="221">
        <f>IF(Values_Entered,A365+1,"")</f>
        <v>349</v>
      </c>
      <c r="B366" s="220">
        <f t="shared" si="40"/>
        <v>54138</v>
      </c>
      <c r="C366" s="218">
        <f t="shared" si="46"/>
        <v>0</v>
      </c>
      <c r="D366" s="218">
        <f t="shared" si="41"/>
        <v>6221.0853634570531</v>
      </c>
      <c r="E366" s="219">
        <f t="shared" si="42"/>
        <v>0</v>
      </c>
      <c r="F366" s="218">
        <f t="shared" si="43"/>
        <v>0</v>
      </c>
      <c r="G366" s="218">
        <f t="shared" si="44"/>
        <v>0</v>
      </c>
      <c r="H366" s="218">
        <f t="shared" si="47"/>
        <v>0</v>
      </c>
      <c r="I366" s="218">
        <f t="shared" si="45"/>
        <v>0</v>
      </c>
      <c r="J366" s="218">
        <f>SUM($H$18:$H366)</f>
        <v>518060.48722969193</v>
      </c>
    </row>
    <row r="367" spans="1:10" x14ac:dyDescent="0.2">
      <c r="A367" s="221">
        <f>IF(Values_Entered,A366+1,"")</f>
        <v>350</v>
      </c>
      <c r="B367" s="220">
        <f t="shared" si="40"/>
        <v>54169</v>
      </c>
      <c r="C367" s="218">
        <f t="shared" si="46"/>
        <v>0</v>
      </c>
      <c r="D367" s="218">
        <f t="shared" si="41"/>
        <v>6221.0853634570531</v>
      </c>
      <c r="E367" s="219">
        <f t="shared" si="42"/>
        <v>0</v>
      </c>
      <c r="F367" s="218">
        <f t="shared" si="43"/>
        <v>0</v>
      </c>
      <c r="G367" s="218">
        <f t="shared" si="44"/>
        <v>0</v>
      </c>
      <c r="H367" s="218">
        <f t="shared" si="47"/>
        <v>0</v>
      </c>
      <c r="I367" s="218">
        <f t="shared" si="45"/>
        <v>0</v>
      </c>
      <c r="J367" s="218">
        <f>SUM($H$18:$H367)</f>
        <v>518060.48722969193</v>
      </c>
    </row>
    <row r="368" spans="1:10" x14ac:dyDescent="0.2">
      <c r="A368" s="221">
        <f>IF(Values_Entered,A367+1,"")</f>
        <v>351</v>
      </c>
      <c r="B368" s="220">
        <f t="shared" si="40"/>
        <v>54199</v>
      </c>
      <c r="C368" s="218">
        <f t="shared" si="46"/>
        <v>0</v>
      </c>
      <c r="D368" s="218">
        <f t="shared" si="41"/>
        <v>6221.0853634570531</v>
      </c>
      <c r="E368" s="219">
        <f t="shared" si="42"/>
        <v>0</v>
      </c>
      <c r="F368" s="218">
        <f t="shared" si="43"/>
        <v>0</v>
      </c>
      <c r="G368" s="218">
        <f t="shared" si="44"/>
        <v>0</v>
      </c>
      <c r="H368" s="218">
        <f t="shared" si="47"/>
        <v>0</v>
      </c>
      <c r="I368" s="218">
        <f t="shared" si="45"/>
        <v>0</v>
      </c>
      <c r="J368" s="218">
        <f>SUM($H$18:$H368)</f>
        <v>518060.48722969193</v>
      </c>
    </row>
    <row r="369" spans="1:10" x14ac:dyDescent="0.2">
      <c r="A369" s="221">
        <f>IF(Values_Entered,A368+1,"")</f>
        <v>352</v>
      </c>
      <c r="B369" s="220">
        <f t="shared" si="40"/>
        <v>54230</v>
      </c>
      <c r="C369" s="218">
        <f t="shared" si="46"/>
        <v>0</v>
      </c>
      <c r="D369" s="218">
        <f t="shared" si="41"/>
        <v>6221.0853634570531</v>
      </c>
      <c r="E369" s="219">
        <f t="shared" si="42"/>
        <v>0</v>
      </c>
      <c r="F369" s="218">
        <f t="shared" si="43"/>
        <v>0</v>
      </c>
      <c r="G369" s="218">
        <f t="shared" si="44"/>
        <v>0</v>
      </c>
      <c r="H369" s="218">
        <f t="shared" si="47"/>
        <v>0</v>
      </c>
      <c r="I369" s="218">
        <f t="shared" si="45"/>
        <v>0</v>
      </c>
      <c r="J369" s="218">
        <f>SUM($H$18:$H369)</f>
        <v>518060.48722969193</v>
      </c>
    </row>
    <row r="370" spans="1:10" x14ac:dyDescent="0.2">
      <c r="A370" s="221">
        <f>IF(Values_Entered,A369+1,"")</f>
        <v>353</v>
      </c>
      <c r="B370" s="220">
        <f t="shared" si="40"/>
        <v>54260</v>
      </c>
      <c r="C370" s="218">
        <f t="shared" si="46"/>
        <v>0</v>
      </c>
      <c r="D370" s="218">
        <f t="shared" si="41"/>
        <v>6221.0853634570531</v>
      </c>
      <c r="E370" s="219">
        <f t="shared" si="42"/>
        <v>0</v>
      </c>
      <c r="F370" s="218">
        <f t="shared" si="43"/>
        <v>0</v>
      </c>
      <c r="G370" s="218">
        <f t="shared" si="44"/>
        <v>0</v>
      </c>
      <c r="H370" s="218">
        <f t="shared" si="47"/>
        <v>0</v>
      </c>
      <c r="I370" s="218">
        <f t="shared" si="45"/>
        <v>0</v>
      </c>
      <c r="J370" s="218">
        <f>SUM($H$18:$H370)</f>
        <v>518060.48722969193</v>
      </c>
    </row>
    <row r="371" spans="1:10" x14ac:dyDescent="0.2">
      <c r="A371" s="221">
        <f>IF(Values_Entered,A370+1,"")</f>
        <v>354</v>
      </c>
      <c r="B371" s="220">
        <f t="shared" si="40"/>
        <v>54291</v>
      </c>
      <c r="C371" s="218">
        <f t="shared" si="46"/>
        <v>0</v>
      </c>
      <c r="D371" s="218">
        <f t="shared" si="41"/>
        <v>6221.0853634570531</v>
      </c>
      <c r="E371" s="219">
        <f t="shared" si="42"/>
        <v>0</v>
      </c>
      <c r="F371" s="218">
        <f t="shared" si="43"/>
        <v>0</v>
      </c>
      <c r="G371" s="218">
        <f t="shared" si="44"/>
        <v>0</v>
      </c>
      <c r="H371" s="218">
        <f t="shared" si="47"/>
        <v>0</v>
      </c>
      <c r="I371" s="218">
        <f t="shared" si="45"/>
        <v>0</v>
      </c>
      <c r="J371" s="218">
        <f>SUM($H$18:$H371)</f>
        <v>518060.48722969193</v>
      </c>
    </row>
    <row r="372" spans="1:10" x14ac:dyDescent="0.2">
      <c r="A372" s="221">
        <f>IF(Values_Entered,A371+1,"")</f>
        <v>355</v>
      </c>
      <c r="B372" s="220">
        <f t="shared" si="40"/>
        <v>54322</v>
      </c>
      <c r="C372" s="218">
        <f t="shared" si="46"/>
        <v>0</v>
      </c>
      <c r="D372" s="218">
        <f t="shared" si="41"/>
        <v>6221.0853634570531</v>
      </c>
      <c r="E372" s="219">
        <f t="shared" si="42"/>
        <v>0</v>
      </c>
      <c r="F372" s="218">
        <f t="shared" si="43"/>
        <v>0</v>
      </c>
      <c r="G372" s="218">
        <f t="shared" si="44"/>
        <v>0</v>
      </c>
      <c r="H372" s="218">
        <f t="shared" si="47"/>
        <v>0</v>
      </c>
      <c r="I372" s="218">
        <f t="shared" si="45"/>
        <v>0</v>
      </c>
      <c r="J372" s="218">
        <f>SUM($H$18:$H372)</f>
        <v>518060.48722969193</v>
      </c>
    </row>
    <row r="373" spans="1:10" x14ac:dyDescent="0.2">
      <c r="A373" s="221">
        <f>IF(Values_Entered,A372+1,"")</f>
        <v>356</v>
      </c>
      <c r="B373" s="220">
        <f t="shared" si="40"/>
        <v>54352</v>
      </c>
      <c r="C373" s="218">
        <f t="shared" si="46"/>
        <v>0</v>
      </c>
      <c r="D373" s="218">
        <f t="shared" si="41"/>
        <v>6221.0853634570531</v>
      </c>
      <c r="E373" s="219">
        <f t="shared" si="42"/>
        <v>0</v>
      </c>
      <c r="F373" s="218">
        <f t="shared" si="43"/>
        <v>0</v>
      </c>
      <c r="G373" s="218">
        <f t="shared" si="44"/>
        <v>0</v>
      </c>
      <c r="H373" s="218">
        <f t="shared" si="47"/>
        <v>0</v>
      </c>
      <c r="I373" s="218">
        <f t="shared" si="45"/>
        <v>0</v>
      </c>
      <c r="J373" s="218">
        <f>SUM($H$18:$H373)</f>
        <v>518060.48722969193</v>
      </c>
    </row>
    <row r="374" spans="1:10" x14ac:dyDescent="0.2">
      <c r="A374" s="221">
        <f>IF(Values_Entered,A373+1,"")</f>
        <v>357</v>
      </c>
      <c r="B374" s="220">
        <f t="shared" si="40"/>
        <v>54383</v>
      </c>
      <c r="C374" s="218">
        <f t="shared" si="46"/>
        <v>0</v>
      </c>
      <c r="D374" s="218">
        <f t="shared" si="41"/>
        <v>6221.0853634570531</v>
      </c>
      <c r="E374" s="219">
        <f t="shared" si="42"/>
        <v>0</v>
      </c>
      <c r="F374" s="218">
        <f t="shared" si="43"/>
        <v>0</v>
      </c>
      <c r="G374" s="218">
        <f t="shared" si="44"/>
        <v>0</v>
      </c>
      <c r="H374" s="218">
        <f t="shared" si="47"/>
        <v>0</v>
      </c>
      <c r="I374" s="218">
        <f t="shared" si="45"/>
        <v>0</v>
      </c>
      <c r="J374" s="218">
        <f>SUM($H$18:$H374)</f>
        <v>518060.48722969193</v>
      </c>
    </row>
    <row r="375" spans="1:10" x14ac:dyDescent="0.2">
      <c r="A375" s="221">
        <f>IF(Values_Entered,A374+1,"")</f>
        <v>358</v>
      </c>
      <c r="B375" s="220">
        <f t="shared" si="40"/>
        <v>54413</v>
      </c>
      <c r="C375" s="218">
        <f t="shared" si="46"/>
        <v>0</v>
      </c>
      <c r="D375" s="218">
        <f t="shared" si="41"/>
        <v>6221.0853634570531</v>
      </c>
      <c r="E375" s="219">
        <f t="shared" si="42"/>
        <v>0</v>
      </c>
      <c r="F375" s="218">
        <f t="shared" si="43"/>
        <v>0</v>
      </c>
      <c r="G375" s="218">
        <f t="shared" si="44"/>
        <v>0</v>
      </c>
      <c r="H375" s="218">
        <f t="shared" si="47"/>
        <v>0</v>
      </c>
      <c r="I375" s="218">
        <f t="shared" si="45"/>
        <v>0</v>
      </c>
      <c r="J375" s="218">
        <f>SUM($H$18:$H375)</f>
        <v>518060.48722969193</v>
      </c>
    </row>
    <row r="376" spans="1:10" x14ac:dyDescent="0.2">
      <c r="A376" s="221">
        <f>IF(Values_Entered,A375+1,"")</f>
        <v>359</v>
      </c>
      <c r="B376" s="220">
        <f t="shared" si="40"/>
        <v>54444</v>
      </c>
      <c r="C376" s="218">
        <f t="shared" si="46"/>
        <v>0</v>
      </c>
      <c r="D376" s="218">
        <f t="shared" si="41"/>
        <v>6221.0853634570531</v>
      </c>
      <c r="E376" s="219">
        <f t="shared" si="42"/>
        <v>0</v>
      </c>
      <c r="F376" s="218">
        <f t="shared" si="43"/>
        <v>0</v>
      </c>
      <c r="G376" s="218">
        <f t="shared" si="44"/>
        <v>0</v>
      </c>
      <c r="H376" s="218">
        <f t="shared" si="47"/>
        <v>0</v>
      </c>
      <c r="I376" s="218">
        <f t="shared" si="45"/>
        <v>0</v>
      </c>
      <c r="J376" s="218">
        <f>SUM($H$18:$H376)</f>
        <v>518060.48722969193</v>
      </c>
    </row>
    <row r="377" spans="1:10" x14ac:dyDescent="0.2">
      <c r="A377" s="221">
        <f>IF(Values_Entered,A376+1,"")</f>
        <v>360</v>
      </c>
      <c r="B377" s="220">
        <f t="shared" si="40"/>
        <v>54475</v>
      </c>
      <c r="C377" s="218">
        <f t="shared" si="46"/>
        <v>0</v>
      </c>
      <c r="D377" s="218">
        <f t="shared" si="41"/>
        <v>6221.0853634570531</v>
      </c>
      <c r="E377" s="219">
        <f t="shared" si="42"/>
        <v>0</v>
      </c>
      <c r="F377" s="218">
        <f t="shared" si="43"/>
        <v>0</v>
      </c>
      <c r="G377" s="218">
        <f t="shared" si="44"/>
        <v>0</v>
      </c>
      <c r="H377" s="218">
        <f t="shared" si="47"/>
        <v>0</v>
      </c>
      <c r="I377" s="218">
        <f t="shared" si="45"/>
        <v>0</v>
      </c>
      <c r="J377" s="218">
        <f>SUM($H$18:$H377)</f>
        <v>518060.48722969193</v>
      </c>
    </row>
    <row r="378" spans="1:10" x14ac:dyDescent="0.2">
      <c r="A378" s="221">
        <f>IF(Values_Entered,A377+1,"")</f>
        <v>361</v>
      </c>
      <c r="B378" s="220">
        <f t="shared" si="40"/>
        <v>54503</v>
      </c>
      <c r="C378" s="218">
        <f t="shared" si="46"/>
        <v>0</v>
      </c>
      <c r="D378" s="218">
        <f t="shared" si="41"/>
        <v>6221.0853634570531</v>
      </c>
      <c r="E378" s="219">
        <f t="shared" si="42"/>
        <v>0</v>
      </c>
      <c r="F378" s="218">
        <f t="shared" si="43"/>
        <v>0</v>
      </c>
      <c r="G378" s="218">
        <f t="shared" si="44"/>
        <v>0</v>
      </c>
      <c r="H378" s="218">
        <f t="shared" si="47"/>
        <v>0</v>
      </c>
      <c r="I378" s="218">
        <f t="shared" si="45"/>
        <v>0</v>
      </c>
      <c r="J378" s="218">
        <f>SUM($H$18:$H378)</f>
        <v>518060.48722969193</v>
      </c>
    </row>
    <row r="379" spans="1:10" x14ac:dyDescent="0.2">
      <c r="A379" s="221">
        <f>IF(Values_Entered,A378+1,"")</f>
        <v>362</v>
      </c>
      <c r="B379" s="220">
        <f t="shared" si="40"/>
        <v>54534</v>
      </c>
      <c r="C379" s="218">
        <f t="shared" si="46"/>
        <v>0</v>
      </c>
      <c r="D379" s="218">
        <f t="shared" si="41"/>
        <v>6221.0853634570531</v>
      </c>
      <c r="E379" s="219">
        <f t="shared" si="42"/>
        <v>0</v>
      </c>
      <c r="F379" s="218">
        <f t="shared" si="43"/>
        <v>0</v>
      </c>
      <c r="G379" s="218">
        <f t="shared" si="44"/>
        <v>0</v>
      </c>
      <c r="H379" s="218">
        <f t="shared" si="47"/>
        <v>0</v>
      </c>
      <c r="I379" s="218">
        <f t="shared" si="45"/>
        <v>0</v>
      </c>
      <c r="J379" s="218">
        <f>SUM($H$18:$H379)</f>
        <v>518060.48722969193</v>
      </c>
    </row>
    <row r="380" spans="1:10" x14ac:dyDescent="0.2">
      <c r="A380" s="221">
        <f>IF(Values_Entered,A379+1,"")</f>
        <v>363</v>
      </c>
      <c r="B380" s="220">
        <f t="shared" si="40"/>
        <v>54564</v>
      </c>
      <c r="C380" s="218">
        <f t="shared" si="46"/>
        <v>0</v>
      </c>
      <c r="D380" s="218">
        <f t="shared" si="41"/>
        <v>6221.0853634570531</v>
      </c>
      <c r="E380" s="219">
        <f t="shared" si="42"/>
        <v>0</v>
      </c>
      <c r="F380" s="218">
        <f t="shared" si="43"/>
        <v>0</v>
      </c>
      <c r="G380" s="218">
        <f t="shared" si="44"/>
        <v>0</v>
      </c>
      <c r="H380" s="218">
        <f t="shared" si="47"/>
        <v>0</v>
      </c>
      <c r="I380" s="218">
        <f t="shared" si="45"/>
        <v>0</v>
      </c>
      <c r="J380" s="218">
        <f>SUM($H$18:$H380)</f>
        <v>518060.48722969193</v>
      </c>
    </row>
    <row r="381" spans="1:10" x14ac:dyDescent="0.2">
      <c r="A381" s="221">
        <f>IF(Values_Entered,A380+1,"")</f>
        <v>364</v>
      </c>
      <c r="B381" s="220">
        <f t="shared" si="40"/>
        <v>54595</v>
      </c>
      <c r="C381" s="218">
        <f t="shared" si="46"/>
        <v>0</v>
      </c>
      <c r="D381" s="218">
        <f t="shared" si="41"/>
        <v>6221.0853634570531</v>
      </c>
      <c r="E381" s="219">
        <f t="shared" si="42"/>
        <v>0</v>
      </c>
      <c r="F381" s="218">
        <f t="shared" si="43"/>
        <v>0</v>
      </c>
      <c r="G381" s="218">
        <f t="shared" si="44"/>
        <v>0</v>
      </c>
      <c r="H381" s="218">
        <f t="shared" si="47"/>
        <v>0</v>
      </c>
      <c r="I381" s="218">
        <f t="shared" si="45"/>
        <v>0</v>
      </c>
      <c r="J381" s="218">
        <f>SUM($H$18:$H381)</f>
        <v>518060.48722969193</v>
      </c>
    </row>
    <row r="382" spans="1:10" x14ac:dyDescent="0.2">
      <c r="A382" s="221">
        <f>IF(Values_Entered,A381+1,"")</f>
        <v>365</v>
      </c>
      <c r="B382" s="220">
        <f t="shared" si="40"/>
        <v>54625</v>
      </c>
      <c r="C382" s="218">
        <f t="shared" si="46"/>
        <v>0</v>
      </c>
      <c r="D382" s="218">
        <f t="shared" si="41"/>
        <v>6221.0853634570531</v>
      </c>
      <c r="E382" s="219">
        <f t="shared" si="42"/>
        <v>0</v>
      </c>
      <c r="F382" s="218">
        <f t="shared" si="43"/>
        <v>0</v>
      </c>
      <c r="G382" s="218">
        <f t="shared" si="44"/>
        <v>0</v>
      </c>
      <c r="H382" s="218">
        <f t="shared" si="47"/>
        <v>0</v>
      </c>
      <c r="I382" s="218">
        <f t="shared" si="45"/>
        <v>0</v>
      </c>
      <c r="J382" s="218">
        <f>SUM($H$18:$H382)</f>
        <v>518060.48722969193</v>
      </c>
    </row>
    <row r="383" spans="1:10" x14ac:dyDescent="0.2">
      <c r="A383" s="221">
        <f>IF(Values_Entered,A382+1,"")</f>
        <v>366</v>
      </c>
      <c r="B383" s="220">
        <f t="shared" si="40"/>
        <v>54656</v>
      </c>
      <c r="C383" s="218">
        <f t="shared" si="46"/>
        <v>0</v>
      </c>
      <c r="D383" s="218">
        <f t="shared" si="41"/>
        <v>6221.0853634570531</v>
      </c>
      <c r="E383" s="219">
        <f t="shared" si="42"/>
        <v>0</v>
      </c>
      <c r="F383" s="218">
        <f t="shared" si="43"/>
        <v>0</v>
      </c>
      <c r="G383" s="218">
        <f t="shared" si="44"/>
        <v>0</v>
      </c>
      <c r="H383" s="218">
        <f t="shared" si="47"/>
        <v>0</v>
      </c>
      <c r="I383" s="218">
        <f t="shared" si="45"/>
        <v>0</v>
      </c>
      <c r="J383" s="218">
        <f>SUM($H$18:$H383)</f>
        <v>518060.48722969193</v>
      </c>
    </row>
    <row r="384" spans="1:10" x14ac:dyDescent="0.2">
      <c r="A384" s="221">
        <f>IF(Values_Entered,A383+1,"")</f>
        <v>367</v>
      </c>
      <c r="B384" s="220">
        <f t="shared" si="40"/>
        <v>54687</v>
      </c>
      <c r="C384" s="218">
        <f t="shared" si="46"/>
        <v>0</v>
      </c>
      <c r="D384" s="218">
        <f t="shared" si="41"/>
        <v>6221.0853634570531</v>
      </c>
      <c r="E384" s="219">
        <f t="shared" si="42"/>
        <v>0</v>
      </c>
      <c r="F384" s="218">
        <f t="shared" si="43"/>
        <v>0</v>
      </c>
      <c r="G384" s="218">
        <f t="shared" si="44"/>
        <v>0</v>
      </c>
      <c r="H384" s="218">
        <f t="shared" si="47"/>
        <v>0</v>
      </c>
      <c r="I384" s="218">
        <f t="shared" si="45"/>
        <v>0</v>
      </c>
      <c r="J384" s="218">
        <f>SUM($H$18:$H384)</f>
        <v>518060.48722969193</v>
      </c>
    </row>
    <row r="385" spans="1:10" x14ac:dyDescent="0.2">
      <c r="A385" s="221">
        <f>IF(Values_Entered,A384+1,"")</f>
        <v>368</v>
      </c>
      <c r="B385" s="220">
        <f t="shared" si="40"/>
        <v>54717</v>
      </c>
      <c r="C385" s="218">
        <f t="shared" si="46"/>
        <v>0</v>
      </c>
      <c r="D385" s="218">
        <f t="shared" si="41"/>
        <v>6221.0853634570531</v>
      </c>
      <c r="E385" s="219">
        <f t="shared" si="42"/>
        <v>0</v>
      </c>
      <c r="F385" s="218">
        <f t="shared" si="43"/>
        <v>0</v>
      </c>
      <c r="G385" s="218">
        <f t="shared" si="44"/>
        <v>0</v>
      </c>
      <c r="H385" s="218">
        <f t="shared" si="47"/>
        <v>0</v>
      </c>
      <c r="I385" s="218">
        <f t="shared" si="45"/>
        <v>0</v>
      </c>
      <c r="J385" s="218">
        <f>SUM($H$18:$H385)</f>
        <v>518060.48722969193</v>
      </c>
    </row>
    <row r="386" spans="1:10" x14ac:dyDescent="0.2">
      <c r="A386" s="221">
        <f>IF(Values_Entered,A385+1,"")</f>
        <v>369</v>
      </c>
      <c r="B386" s="220">
        <f t="shared" si="40"/>
        <v>54748</v>
      </c>
      <c r="C386" s="218">
        <f t="shared" si="46"/>
        <v>0</v>
      </c>
      <c r="D386" s="218">
        <f t="shared" si="41"/>
        <v>6221.0853634570531</v>
      </c>
      <c r="E386" s="219">
        <f t="shared" si="42"/>
        <v>0</v>
      </c>
      <c r="F386" s="218">
        <f t="shared" si="43"/>
        <v>0</v>
      </c>
      <c r="G386" s="218">
        <f t="shared" si="44"/>
        <v>0</v>
      </c>
      <c r="H386" s="218">
        <f t="shared" si="47"/>
        <v>0</v>
      </c>
      <c r="I386" s="218">
        <f t="shared" si="45"/>
        <v>0</v>
      </c>
      <c r="J386" s="218">
        <f>SUM($H$18:$H386)</f>
        <v>518060.48722969193</v>
      </c>
    </row>
    <row r="387" spans="1:10" x14ac:dyDescent="0.2">
      <c r="A387" s="221">
        <f>IF(Values_Entered,A386+1,"")</f>
        <v>370</v>
      </c>
      <c r="B387" s="220">
        <f t="shared" si="40"/>
        <v>54778</v>
      </c>
      <c r="C387" s="218">
        <f t="shared" si="46"/>
        <v>0</v>
      </c>
      <c r="D387" s="218">
        <f t="shared" si="41"/>
        <v>6221.0853634570531</v>
      </c>
      <c r="E387" s="219">
        <f t="shared" si="42"/>
        <v>0</v>
      </c>
      <c r="F387" s="218">
        <f t="shared" si="43"/>
        <v>0</v>
      </c>
      <c r="G387" s="218">
        <f t="shared" si="44"/>
        <v>0</v>
      </c>
      <c r="H387" s="218">
        <f t="shared" si="47"/>
        <v>0</v>
      </c>
      <c r="I387" s="218">
        <f t="shared" si="45"/>
        <v>0</v>
      </c>
      <c r="J387" s="218">
        <f>SUM($H$18:$H387)</f>
        <v>518060.48722969193</v>
      </c>
    </row>
    <row r="388" spans="1:10" x14ac:dyDescent="0.2">
      <c r="A388" s="221">
        <f>IF(Values_Entered,A387+1,"")</f>
        <v>371</v>
      </c>
      <c r="B388" s="220">
        <f t="shared" si="40"/>
        <v>54809</v>
      </c>
      <c r="C388" s="218">
        <f t="shared" si="46"/>
        <v>0</v>
      </c>
      <c r="D388" s="218">
        <f t="shared" si="41"/>
        <v>6221.0853634570531</v>
      </c>
      <c r="E388" s="219">
        <f t="shared" si="42"/>
        <v>0</v>
      </c>
      <c r="F388" s="218">
        <f t="shared" si="43"/>
        <v>0</v>
      </c>
      <c r="G388" s="218">
        <f t="shared" si="44"/>
        <v>0</v>
      </c>
      <c r="H388" s="218">
        <f t="shared" si="47"/>
        <v>0</v>
      </c>
      <c r="I388" s="218">
        <f t="shared" si="45"/>
        <v>0</v>
      </c>
      <c r="J388" s="218">
        <f>SUM($H$18:$H388)</f>
        <v>518060.48722969193</v>
      </c>
    </row>
    <row r="389" spans="1:10" x14ac:dyDescent="0.2">
      <c r="A389" s="221">
        <f>IF(Values_Entered,A388+1,"")</f>
        <v>372</v>
      </c>
      <c r="B389" s="220">
        <f t="shared" si="40"/>
        <v>54840</v>
      </c>
      <c r="C389" s="218">
        <f t="shared" si="46"/>
        <v>0</v>
      </c>
      <c r="D389" s="218">
        <f t="shared" si="41"/>
        <v>6221.0853634570531</v>
      </c>
      <c r="E389" s="219">
        <f t="shared" si="42"/>
        <v>0</v>
      </c>
      <c r="F389" s="218">
        <f t="shared" si="43"/>
        <v>0</v>
      </c>
      <c r="G389" s="218">
        <f t="shared" si="44"/>
        <v>0</v>
      </c>
      <c r="H389" s="218">
        <f t="shared" si="47"/>
        <v>0</v>
      </c>
      <c r="I389" s="218">
        <f t="shared" si="45"/>
        <v>0</v>
      </c>
      <c r="J389" s="218">
        <f>SUM($H$18:$H389)</f>
        <v>518060.48722969193</v>
      </c>
    </row>
    <row r="390" spans="1:10" x14ac:dyDescent="0.2">
      <c r="A390" s="221">
        <f>IF(Values_Entered,A389+1,"")</f>
        <v>373</v>
      </c>
      <c r="B390" s="220">
        <f t="shared" si="40"/>
        <v>54868</v>
      </c>
      <c r="C390" s="218">
        <f t="shared" si="46"/>
        <v>0</v>
      </c>
      <c r="D390" s="218">
        <f t="shared" si="41"/>
        <v>6221.0853634570531</v>
      </c>
      <c r="E390" s="219">
        <f t="shared" si="42"/>
        <v>0</v>
      </c>
      <c r="F390" s="218">
        <f t="shared" si="43"/>
        <v>0</v>
      </c>
      <c r="G390" s="218">
        <f t="shared" si="44"/>
        <v>0</v>
      </c>
      <c r="H390" s="218">
        <f t="shared" si="47"/>
        <v>0</v>
      </c>
      <c r="I390" s="218">
        <f t="shared" si="45"/>
        <v>0</v>
      </c>
      <c r="J390" s="218">
        <f>SUM($H$18:$H390)</f>
        <v>518060.48722969193</v>
      </c>
    </row>
    <row r="391" spans="1:10" x14ac:dyDescent="0.2">
      <c r="A391" s="221">
        <f>IF(Values_Entered,A390+1,"")</f>
        <v>374</v>
      </c>
      <c r="B391" s="220">
        <f t="shared" si="40"/>
        <v>54899</v>
      </c>
      <c r="C391" s="218">
        <f t="shared" si="46"/>
        <v>0</v>
      </c>
      <c r="D391" s="218">
        <f t="shared" si="41"/>
        <v>6221.0853634570531</v>
      </c>
      <c r="E391" s="219">
        <f t="shared" si="42"/>
        <v>0</v>
      </c>
      <c r="F391" s="218">
        <f t="shared" si="43"/>
        <v>0</v>
      </c>
      <c r="G391" s="218">
        <f t="shared" si="44"/>
        <v>0</v>
      </c>
      <c r="H391" s="218">
        <f t="shared" si="47"/>
        <v>0</v>
      </c>
      <c r="I391" s="218">
        <f t="shared" si="45"/>
        <v>0</v>
      </c>
      <c r="J391" s="218">
        <f>SUM($H$18:$H391)</f>
        <v>518060.48722969193</v>
      </c>
    </row>
    <row r="392" spans="1:10" x14ac:dyDescent="0.2">
      <c r="A392" s="221">
        <f>IF(Values_Entered,A391+1,"")</f>
        <v>375</v>
      </c>
      <c r="B392" s="220">
        <f t="shared" si="40"/>
        <v>54929</v>
      </c>
      <c r="C392" s="218">
        <f t="shared" si="46"/>
        <v>0</v>
      </c>
      <c r="D392" s="218">
        <f t="shared" si="41"/>
        <v>6221.0853634570531</v>
      </c>
      <c r="E392" s="219">
        <f t="shared" si="42"/>
        <v>0</v>
      </c>
      <c r="F392" s="218">
        <f t="shared" si="43"/>
        <v>0</v>
      </c>
      <c r="G392" s="218">
        <f t="shared" si="44"/>
        <v>0</v>
      </c>
      <c r="H392" s="218">
        <f t="shared" si="47"/>
        <v>0</v>
      </c>
      <c r="I392" s="218">
        <f t="shared" si="45"/>
        <v>0</v>
      </c>
      <c r="J392" s="218">
        <f>SUM($H$18:$H392)</f>
        <v>518060.48722969193</v>
      </c>
    </row>
    <row r="393" spans="1:10" x14ac:dyDescent="0.2">
      <c r="A393" s="221">
        <f>IF(Values_Entered,A392+1,"")</f>
        <v>376</v>
      </c>
      <c r="B393" s="220">
        <f t="shared" si="40"/>
        <v>54960</v>
      </c>
      <c r="C393" s="218">
        <f t="shared" si="46"/>
        <v>0</v>
      </c>
      <c r="D393" s="218">
        <f t="shared" si="41"/>
        <v>6221.0853634570531</v>
      </c>
      <c r="E393" s="219">
        <f t="shared" si="42"/>
        <v>0</v>
      </c>
      <c r="F393" s="218">
        <f t="shared" si="43"/>
        <v>0</v>
      </c>
      <c r="G393" s="218">
        <f t="shared" si="44"/>
        <v>0</v>
      </c>
      <c r="H393" s="218">
        <f t="shared" si="47"/>
        <v>0</v>
      </c>
      <c r="I393" s="218">
        <f t="shared" si="45"/>
        <v>0</v>
      </c>
      <c r="J393" s="218">
        <f>SUM($H$18:$H393)</f>
        <v>518060.48722969193</v>
      </c>
    </row>
    <row r="394" spans="1:10" x14ac:dyDescent="0.2">
      <c r="A394" s="221">
        <f>IF(Values_Entered,A393+1,"")</f>
        <v>377</v>
      </c>
      <c r="B394" s="220">
        <f t="shared" si="40"/>
        <v>54990</v>
      </c>
      <c r="C394" s="218">
        <f t="shared" si="46"/>
        <v>0</v>
      </c>
      <c r="D394" s="218">
        <f t="shared" si="41"/>
        <v>6221.0853634570531</v>
      </c>
      <c r="E394" s="219">
        <f t="shared" si="42"/>
        <v>0</v>
      </c>
      <c r="F394" s="218">
        <f t="shared" si="43"/>
        <v>0</v>
      </c>
      <c r="G394" s="218">
        <f t="shared" si="44"/>
        <v>0</v>
      </c>
      <c r="H394" s="218">
        <f t="shared" si="47"/>
        <v>0</v>
      </c>
      <c r="I394" s="218">
        <f t="shared" si="45"/>
        <v>0</v>
      </c>
      <c r="J394" s="218">
        <f>SUM($H$18:$H394)</f>
        <v>518060.48722969193</v>
      </c>
    </row>
    <row r="395" spans="1:10" x14ac:dyDescent="0.2">
      <c r="A395" s="221">
        <f>IF(Values_Entered,A394+1,"")</f>
        <v>378</v>
      </c>
      <c r="B395" s="220">
        <f t="shared" si="40"/>
        <v>55021</v>
      </c>
      <c r="C395" s="218">
        <f t="shared" si="46"/>
        <v>0</v>
      </c>
      <c r="D395" s="218">
        <f t="shared" si="41"/>
        <v>6221.0853634570531</v>
      </c>
      <c r="E395" s="219">
        <f t="shared" si="42"/>
        <v>0</v>
      </c>
      <c r="F395" s="218">
        <f t="shared" si="43"/>
        <v>0</v>
      </c>
      <c r="G395" s="218">
        <f t="shared" si="44"/>
        <v>0</v>
      </c>
      <c r="H395" s="218">
        <f t="shared" si="47"/>
        <v>0</v>
      </c>
      <c r="I395" s="218">
        <f t="shared" si="45"/>
        <v>0</v>
      </c>
      <c r="J395" s="218">
        <f>SUM($H$18:$H395)</f>
        <v>518060.48722969193</v>
      </c>
    </row>
    <row r="396" spans="1:10" x14ac:dyDescent="0.2">
      <c r="A396" s="221">
        <f>IF(Values_Entered,A395+1,"")</f>
        <v>379</v>
      </c>
      <c r="B396" s="220">
        <f t="shared" si="40"/>
        <v>55052</v>
      </c>
      <c r="C396" s="218">
        <f t="shared" si="46"/>
        <v>0</v>
      </c>
      <c r="D396" s="218">
        <f t="shared" si="41"/>
        <v>6221.0853634570531</v>
      </c>
      <c r="E396" s="219">
        <f t="shared" si="42"/>
        <v>0</v>
      </c>
      <c r="F396" s="218">
        <f t="shared" si="43"/>
        <v>0</v>
      </c>
      <c r="G396" s="218">
        <f t="shared" si="44"/>
        <v>0</v>
      </c>
      <c r="H396" s="218">
        <f t="shared" si="47"/>
        <v>0</v>
      </c>
      <c r="I396" s="218">
        <f t="shared" si="45"/>
        <v>0</v>
      </c>
      <c r="J396" s="218">
        <f>SUM($H$18:$H396)</f>
        <v>518060.48722969193</v>
      </c>
    </row>
    <row r="397" spans="1:10" x14ac:dyDescent="0.2">
      <c r="A397" s="221">
        <f>IF(Values_Entered,A396+1,"")</f>
        <v>380</v>
      </c>
      <c r="B397" s="220">
        <f t="shared" si="40"/>
        <v>55082</v>
      </c>
      <c r="C397" s="218">
        <f t="shared" si="46"/>
        <v>0</v>
      </c>
      <c r="D397" s="218">
        <f t="shared" si="41"/>
        <v>6221.0853634570531</v>
      </c>
      <c r="E397" s="219">
        <f t="shared" si="42"/>
        <v>0</v>
      </c>
      <c r="F397" s="218">
        <f t="shared" si="43"/>
        <v>0</v>
      </c>
      <c r="G397" s="218">
        <f t="shared" si="44"/>
        <v>0</v>
      </c>
      <c r="H397" s="218">
        <f t="shared" si="47"/>
        <v>0</v>
      </c>
      <c r="I397" s="218">
        <f t="shared" si="45"/>
        <v>0</v>
      </c>
      <c r="J397" s="218">
        <f>SUM($H$18:$H397)</f>
        <v>518060.48722969193</v>
      </c>
    </row>
    <row r="398" spans="1:10" x14ac:dyDescent="0.2">
      <c r="A398" s="221">
        <f>IF(Values_Entered,A397+1,"")</f>
        <v>381</v>
      </c>
      <c r="B398" s="220">
        <f t="shared" si="40"/>
        <v>55113</v>
      </c>
      <c r="C398" s="218">
        <f t="shared" si="46"/>
        <v>0</v>
      </c>
      <c r="D398" s="218">
        <f t="shared" si="41"/>
        <v>6221.0853634570531</v>
      </c>
      <c r="E398" s="219">
        <f t="shared" si="42"/>
        <v>0</v>
      </c>
      <c r="F398" s="218">
        <f t="shared" si="43"/>
        <v>0</v>
      </c>
      <c r="G398" s="218">
        <f t="shared" si="44"/>
        <v>0</v>
      </c>
      <c r="H398" s="218">
        <f t="shared" si="47"/>
        <v>0</v>
      </c>
      <c r="I398" s="218">
        <f t="shared" si="45"/>
        <v>0</v>
      </c>
      <c r="J398" s="218">
        <f>SUM($H$18:$H398)</f>
        <v>518060.48722969193</v>
      </c>
    </row>
    <row r="399" spans="1:10" x14ac:dyDescent="0.2">
      <c r="A399" s="221">
        <f>IF(Values_Entered,A398+1,"")</f>
        <v>382</v>
      </c>
      <c r="B399" s="220">
        <f t="shared" si="40"/>
        <v>55143</v>
      </c>
      <c r="C399" s="218">
        <f t="shared" si="46"/>
        <v>0</v>
      </c>
      <c r="D399" s="218">
        <f t="shared" si="41"/>
        <v>6221.0853634570531</v>
      </c>
      <c r="E399" s="219">
        <f t="shared" si="42"/>
        <v>0</v>
      </c>
      <c r="F399" s="218">
        <f t="shared" si="43"/>
        <v>0</v>
      </c>
      <c r="G399" s="218">
        <f t="shared" si="44"/>
        <v>0</v>
      </c>
      <c r="H399" s="218">
        <f t="shared" si="47"/>
        <v>0</v>
      </c>
      <c r="I399" s="218">
        <f t="shared" si="45"/>
        <v>0</v>
      </c>
      <c r="J399" s="218">
        <f>SUM($H$18:$H399)</f>
        <v>518060.48722969193</v>
      </c>
    </row>
    <row r="400" spans="1:10" x14ac:dyDescent="0.2">
      <c r="A400" s="221">
        <f>IF(Values_Entered,A399+1,"")</f>
        <v>383</v>
      </c>
      <c r="B400" s="220">
        <f t="shared" si="40"/>
        <v>55174</v>
      </c>
      <c r="C400" s="218">
        <f t="shared" si="46"/>
        <v>0</v>
      </c>
      <c r="D400" s="218">
        <f t="shared" si="41"/>
        <v>6221.0853634570531</v>
      </c>
      <c r="E400" s="219">
        <f t="shared" si="42"/>
        <v>0</v>
      </c>
      <c r="F400" s="218">
        <f t="shared" si="43"/>
        <v>0</v>
      </c>
      <c r="G400" s="218">
        <f t="shared" si="44"/>
        <v>0</v>
      </c>
      <c r="H400" s="218">
        <f t="shared" si="47"/>
        <v>0</v>
      </c>
      <c r="I400" s="218">
        <f t="shared" si="45"/>
        <v>0</v>
      </c>
      <c r="J400" s="218">
        <f>SUM($H$18:$H400)</f>
        <v>518060.48722969193</v>
      </c>
    </row>
    <row r="401" spans="1:10" x14ac:dyDescent="0.2">
      <c r="A401" s="221">
        <f>IF(Values_Entered,A400+1,"")</f>
        <v>384</v>
      </c>
      <c r="B401" s="220">
        <f t="shared" si="40"/>
        <v>55205</v>
      </c>
      <c r="C401" s="218">
        <f t="shared" si="46"/>
        <v>0</v>
      </c>
      <c r="D401" s="218">
        <f t="shared" si="41"/>
        <v>6221.0853634570531</v>
      </c>
      <c r="E401" s="219">
        <f t="shared" si="42"/>
        <v>0</v>
      </c>
      <c r="F401" s="218">
        <f t="shared" si="43"/>
        <v>0</v>
      </c>
      <c r="G401" s="218">
        <f t="shared" si="44"/>
        <v>0</v>
      </c>
      <c r="H401" s="218">
        <f t="shared" si="47"/>
        <v>0</v>
      </c>
      <c r="I401" s="218">
        <f t="shared" si="45"/>
        <v>0</v>
      </c>
      <c r="J401" s="218">
        <f>SUM($H$18:$H401)</f>
        <v>518060.48722969193</v>
      </c>
    </row>
    <row r="402" spans="1:10" x14ac:dyDescent="0.2">
      <c r="A402" s="221">
        <f>IF(Values_Entered,A401+1,"")</f>
        <v>385</v>
      </c>
      <c r="B402" s="220">
        <f t="shared" ref="B402:B465" si="48">IF(Pay_Num&lt;&gt;"",DATE(YEAR(Loan_Start),MONTH(Loan_Start)+(Pay_Num)*12/Num_Pmt_Per_Year,DAY(Loan_Start)),"")</f>
        <v>55233</v>
      </c>
      <c r="C402" s="218">
        <f t="shared" si="46"/>
        <v>0</v>
      </c>
      <c r="D402" s="218">
        <f t="shared" ref="D402:D465" si="49">IF(Pay_Num&lt;&gt;"",Scheduled_Monthly_Payment,"")</f>
        <v>6221.0853634570531</v>
      </c>
      <c r="E402" s="219">
        <f t="shared" ref="E402:E465" si="50">IF(AND(Pay_Num&lt;&gt;"",Sched_Pay+Scheduled_Extra_Payments&lt;Beg_Bal),Scheduled_Extra_Payments,IF(AND(Pay_Num&lt;&gt;"",Beg_Bal-Sched_Pay&gt;0),Beg_Bal-Sched_Pay,IF(Pay_Num&lt;&gt;"",0,"")))</f>
        <v>0</v>
      </c>
      <c r="F402" s="218">
        <f t="shared" ref="F402:F465" si="51">IF(AND(Pay_Num&lt;&gt;"",Sched_Pay+Extra_Pay&lt;Beg_Bal),Sched_Pay+Extra_Pay,IF(Pay_Num&lt;&gt;"",Beg_Bal,""))</f>
        <v>0</v>
      </c>
      <c r="G402" s="218">
        <f t="shared" ref="G402:G465" si="52">IF(Pay_Num&lt;&gt;"",Total_Pay-Int,"")</f>
        <v>0</v>
      </c>
      <c r="H402" s="218">
        <f t="shared" si="47"/>
        <v>0</v>
      </c>
      <c r="I402" s="218">
        <f t="shared" ref="I402:I465" si="53">IF(AND(Pay_Num&lt;&gt;"",Sched_Pay+Extra_Pay&lt;Beg_Bal),Beg_Bal-Princ,IF(Pay_Num&lt;&gt;"",0,""))</f>
        <v>0</v>
      </c>
      <c r="J402" s="218">
        <f>SUM($H$18:$H402)</f>
        <v>518060.48722969193</v>
      </c>
    </row>
    <row r="403" spans="1:10" x14ac:dyDescent="0.2">
      <c r="A403" s="221">
        <f>IF(Values_Entered,A402+1,"")</f>
        <v>386</v>
      </c>
      <c r="B403" s="220">
        <f t="shared" si="48"/>
        <v>55264</v>
      </c>
      <c r="C403" s="218">
        <f t="shared" ref="C403:C466" si="54">IF(Pay_Num&lt;&gt;"",I402,"")</f>
        <v>0</v>
      </c>
      <c r="D403" s="218">
        <f t="shared" si="49"/>
        <v>6221.0853634570531</v>
      </c>
      <c r="E403" s="219">
        <f t="shared" si="50"/>
        <v>0</v>
      </c>
      <c r="F403" s="218">
        <f t="shared" si="51"/>
        <v>0</v>
      </c>
      <c r="G403" s="218">
        <f t="shared" si="52"/>
        <v>0</v>
      </c>
      <c r="H403" s="218">
        <f t="shared" ref="H403:H466" si="55">IF(Pay_Num&lt;&gt;"",Beg_Bal*Interest_Rate/Num_Pmt_Per_Year,"")</f>
        <v>0</v>
      </c>
      <c r="I403" s="218">
        <f t="shared" si="53"/>
        <v>0</v>
      </c>
      <c r="J403" s="218">
        <f>SUM($H$18:$H403)</f>
        <v>518060.48722969193</v>
      </c>
    </row>
    <row r="404" spans="1:10" x14ac:dyDescent="0.2">
      <c r="A404" s="221">
        <f>IF(Values_Entered,A403+1,"")</f>
        <v>387</v>
      </c>
      <c r="B404" s="220">
        <f t="shared" si="48"/>
        <v>55294</v>
      </c>
      <c r="C404" s="218">
        <f t="shared" si="54"/>
        <v>0</v>
      </c>
      <c r="D404" s="218">
        <f t="shared" si="49"/>
        <v>6221.0853634570531</v>
      </c>
      <c r="E404" s="219">
        <f t="shared" si="50"/>
        <v>0</v>
      </c>
      <c r="F404" s="218">
        <f t="shared" si="51"/>
        <v>0</v>
      </c>
      <c r="G404" s="218">
        <f t="shared" si="52"/>
        <v>0</v>
      </c>
      <c r="H404" s="218">
        <f t="shared" si="55"/>
        <v>0</v>
      </c>
      <c r="I404" s="218">
        <f t="shared" si="53"/>
        <v>0</v>
      </c>
      <c r="J404" s="218">
        <f>SUM($H$18:$H404)</f>
        <v>518060.48722969193</v>
      </c>
    </row>
    <row r="405" spans="1:10" x14ac:dyDescent="0.2">
      <c r="A405" s="221">
        <f>IF(Values_Entered,A404+1,"")</f>
        <v>388</v>
      </c>
      <c r="B405" s="220">
        <f t="shared" si="48"/>
        <v>55325</v>
      </c>
      <c r="C405" s="218">
        <f t="shared" si="54"/>
        <v>0</v>
      </c>
      <c r="D405" s="218">
        <f t="shared" si="49"/>
        <v>6221.0853634570531</v>
      </c>
      <c r="E405" s="219">
        <f t="shared" si="50"/>
        <v>0</v>
      </c>
      <c r="F405" s="218">
        <f t="shared" si="51"/>
        <v>0</v>
      </c>
      <c r="G405" s="218">
        <f t="shared" si="52"/>
        <v>0</v>
      </c>
      <c r="H405" s="218">
        <f t="shared" si="55"/>
        <v>0</v>
      </c>
      <c r="I405" s="218">
        <f t="shared" si="53"/>
        <v>0</v>
      </c>
      <c r="J405" s="218">
        <f>SUM($H$18:$H405)</f>
        <v>518060.48722969193</v>
      </c>
    </row>
    <row r="406" spans="1:10" x14ac:dyDescent="0.2">
      <c r="A406" s="221">
        <f>IF(Values_Entered,A405+1,"")</f>
        <v>389</v>
      </c>
      <c r="B406" s="220">
        <f t="shared" si="48"/>
        <v>55355</v>
      </c>
      <c r="C406" s="218">
        <f t="shared" si="54"/>
        <v>0</v>
      </c>
      <c r="D406" s="218">
        <f t="shared" si="49"/>
        <v>6221.0853634570531</v>
      </c>
      <c r="E406" s="219">
        <f t="shared" si="50"/>
        <v>0</v>
      </c>
      <c r="F406" s="218">
        <f t="shared" si="51"/>
        <v>0</v>
      </c>
      <c r="G406" s="218">
        <f t="shared" si="52"/>
        <v>0</v>
      </c>
      <c r="H406" s="218">
        <f t="shared" si="55"/>
        <v>0</v>
      </c>
      <c r="I406" s="218">
        <f t="shared" si="53"/>
        <v>0</v>
      </c>
      <c r="J406" s="218">
        <f>SUM($H$18:$H406)</f>
        <v>518060.48722969193</v>
      </c>
    </row>
    <row r="407" spans="1:10" x14ac:dyDescent="0.2">
      <c r="A407" s="221">
        <f>IF(Values_Entered,A406+1,"")</f>
        <v>390</v>
      </c>
      <c r="B407" s="220">
        <f t="shared" si="48"/>
        <v>55386</v>
      </c>
      <c r="C407" s="218">
        <f t="shared" si="54"/>
        <v>0</v>
      </c>
      <c r="D407" s="218">
        <f t="shared" si="49"/>
        <v>6221.0853634570531</v>
      </c>
      <c r="E407" s="219">
        <f t="shared" si="50"/>
        <v>0</v>
      </c>
      <c r="F407" s="218">
        <f t="shared" si="51"/>
        <v>0</v>
      </c>
      <c r="G407" s="218">
        <f t="shared" si="52"/>
        <v>0</v>
      </c>
      <c r="H407" s="218">
        <f t="shared" si="55"/>
        <v>0</v>
      </c>
      <c r="I407" s="218">
        <f t="shared" si="53"/>
        <v>0</v>
      </c>
      <c r="J407" s="218">
        <f>SUM($H$18:$H407)</f>
        <v>518060.48722969193</v>
      </c>
    </row>
    <row r="408" spans="1:10" x14ac:dyDescent="0.2">
      <c r="A408" s="221">
        <f>IF(Values_Entered,A407+1,"")</f>
        <v>391</v>
      </c>
      <c r="B408" s="220">
        <f t="shared" si="48"/>
        <v>55417</v>
      </c>
      <c r="C408" s="218">
        <f t="shared" si="54"/>
        <v>0</v>
      </c>
      <c r="D408" s="218">
        <f t="shared" si="49"/>
        <v>6221.0853634570531</v>
      </c>
      <c r="E408" s="219">
        <f t="shared" si="50"/>
        <v>0</v>
      </c>
      <c r="F408" s="218">
        <f t="shared" si="51"/>
        <v>0</v>
      </c>
      <c r="G408" s="218">
        <f t="shared" si="52"/>
        <v>0</v>
      </c>
      <c r="H408" s="218">
        <f t="shared" si="55"/>
        <v>0</v>
      </c>
      <c r="I408" s="218">
        <f t="shared" si="53"/>
        <v>0</v>
      </c>
      <c r="J408" s="218">
        <f>SUM($H$18:$H408)</f>
        <v>518060.48722969193</v>
      </c>
    </row>
    <row r="409" spans="1:10" x14ac:dyDescent="0.2">
      <c r="A409" s="221">
        <f>IF(Values_Entered,A408+1,"")</f>
        <v>392</v>
      </c>
      <c r="B409" s="220">
        <f t="shared" si="48"/>
        <v>55447</v>
      </c>
      <c r="C409" s="218">
        <f t="shared" si="54"/>
        <v>0</v>
      </c>
      <c r="D409" s="218">
        <f t="shared" si="49"/>
        <v>6221.0853634570531</v>
      </c>
      <c r="E409" s="219">
        <f t="shared" si="50"/>
        <v>0</v>
      </c>
      <c r="F409" s="218">
        <f t="shared" si="51"/>
        <v>0</v>
      </c>
      <c r="G409" s="218">
        <f t="shared" si="52"/>
        <v>0</v>
      </c>
      <c r="H409" s="218">
        <f t="shared" si="55"/>
        <v>0</v>
      </c>
      <c r="I409" s="218">
        <f t="shared" si="53"/>
        <v>0</v>
      </c>
      <c r="J409" s="218">
        <f>SUM($H$18:$H409)</f>
        <v>518060.48722969193</v>
      </c>
    </row>
    <row r="410" spans="1:10" x14ac:dyDescent="0.2">
      <c r="A410" s="221">
        <f>IF(Values_Entered,A409+1,"")</f>
        <v>393</v>
      </c>
      <c r="B410" s="220">
        <f t="shared" si="48"/>
        <v>55478</v>
      </c>
      <c r="C410" s="218">
        <f t="shared" si="54"/>
        <v>0</v>
      </c>
      <c r="D410" s="218">
        <f t="shared" si="49"/>
        <v>6221.0853634570531</v>
      </c>
      <c r="E410" s="219">
        <f t="shared" si="50"/>
        <v>0</v>
      </c>
      <c r="F410" s="218">
        <f t="shared" si="51"/>
        <v>0</v>
      </c>
      <c r="G410" s="218">
        <f t="shared" si="52"/>
        <v>0</v>
      </c>
      <c r="H410" s="218">
        <f t="shared" si="55"/>
        <v>0</v>
      </c>
      <c r="I410" s="218">
        <f t="shared" si="53"/>
        <v>0</v>
      </c>
      <c r="J410" s="218">
        <f>SUM($H$18:$H410)</f>
        <v>518060.48722969193</v>
      </c>
    </row>
    <row r="411" spans="1:10" x14ac:dyDescent="0.2">
      <c r="A411" s="221">
        <f>IF(Values_Entered,A410+1,"")</f>
        <v>394</v>
      </c>
      <c r="B411" s="220">
        <f t="shared" si="48"/>
        <v>55508</v>
      </c>
      <c r="C411" s="218">
        <f t="shared" si="54"/>
        <v>0</v>
      </c>
      <c r="D411" s="218">
        <f t="shared" si="49"/>
        <v>6221.0853634570531</v>
      </c>
      <c r="E411" s="219">
        <f t="shared" si="50"/>
        <v>0</v>
      </c>
      <c r="F411" s="218">
        <f t="shared" si="51"/>
        <v>0</v>
      </c>
      <c r="G411" s="218">
        <f t="shared" si="52"/>
        <v>0</v>
      </c>
      <c r="H411" s="218">
        <f t="shared" si="55"/>
        <v>0</v>
      </c>
      <c r="I411" s="218">
        <f t="shared" si="53"/>
        <v>0</v>
      </c>
      <c r="J411" s="218">
        <f>SUM($H$18:$H411)</f>
        <v>518060.48722969193</v>
      </c>
    </row>
    <row r="412" spans="1:10" x14ac:dyDescent="0.2">
      <c r="A412" s="221">
        <f>IF(Values_Entered,A411+1,"")</f>
        <v>395</v>
      </c>
      <c r="B412" s="220">
        <f t="shared" si="48"/>
        <v>55539</v>
      </c>
      <c r="C412" s="218">
        <f t="shared" si="54"/>
        <v>0</v>
      </c>
      <c r="D412" s="218">
        <f t="shared" si="49"/>
        <v>6221.0853634570531</v>
      </c>
      <c r="E412" s="219">
        <f t="shared" si="50"/>
        <v>0</v>
      </c>
      <c r="F412" s="218">
        <f t="shared" si="51"/>
        <v>0</v>
      </c>
      <c r="G412" s="218">
        <f t="shared" si="52"/>
        <v>0</v>
      </c>
      <c r="H412" s="218">
        <f t="shared" si="55"/>
        <v>0</v>
      </c>
      <c r="I412" s="218">
        <f t="shared" si="53"/>
        <v>0</v>
      </c>
      <c r="J412" s="218">
        <f>SUM($H$18:$H412)</f>
        <v>518060.48722969193</v>
      </c>
    </row>
    <row r="413" spans="1:10" x14ac:dyDescent="0.2">
      <c r="A413" s="221">
        <f>IF(Values_Entered,A412+1,"")</f>
        <v>396</v>
      </c>
      <c r="B413" s="220">
        <f t="shared" si="48"/>
        <v>55570</v>
      </c>
      <c r="C413" s="218">
        <f t="shared" si="54"/>
        <v>0</v>
      </c>
      <c r="D413" s="218">
        <f t="shared" si="49"/>
        <v>6221.0853634570531</v>
      </c>
      <c r="E413" s="219">
        <f t="shared" si="50"/>
        <v>0</v>
      </c>
      <c r="F413" s="218">
        <f t="shared" si="51"/>
        <v>0</v>
      </c>
      <c r="G413" s="218">
        <f t="shared" si="52"/>
        <v>0</v>
      </c>
      <c r="H413" s="218">
        <f t="shared" si="55"/>
        <v>0</v>
      </c>
      <c r="I413" s="218">
        <f t="shared" si="53"/>
        <v>0</v>
      </c>
      <c r="J413" s="218">
        <f>SUM($H$18:$H413)</f>
        <v>518060.48722969193</v>
      </c>
    </row>
    <row r="414" spans="1:10" x14ac:dyDescent="0.2">
      <c r="A414" s="221">
        <f>IF(Values_Entered,A413+1,"")</f>
        <v>397</v>
      </c>
      <c r="B414" s="220">
        <f t="shared" si="48"/>
        <v>55599</v>
      </c>
      <c r="C414" s="218">
        <f t="shared" si="54"/>
        <v>0</v>
      </c>
      <c r="D414" s="218">
        <f t="shared" si="49"/>
        <v>6221.0853634570531</v>
      </c>
      <c r="E414" s="219">
        <f t="shared" si="50"/>
        <v>0</v>
      </c>
      <c r="F414" s="218">
        <f t="shared" si="51"/>
        <v>0</v>
      </c>
      <c r="G414" s="218">
        <f t="shared" si="52"/>
        <v>0</v>
      </c>
      <c r="H414" s="218">
        <f t="shared" si="55"/>
        <v>0</v>
      </c>
      <c r="I414" s="218">
        <f t="shared" si="53"/>
        <v>0</v>
      </c>
      <c r="J414" s="218">
        <f>SUM($H$18:$H414)</f>
        <v>518060.48722969193</v>
      </c>
    </row>
    <row r="415" spans="1:10" x14ac:dyDescent="0.2">
      <c r="A415" s="221">
        <f>IF(Values_Entered,A414+1,"")</f>
        <v>398</v>
      </c>
      <c r="B415" s="220">
        <f t="shared" si="48"/>
        <v>55630</v>
      </c>
      <c r="C415" s="218">
        <f t="shared" si="54"/>
        <v>0</v>
      </c>
      <c r="D415" s="218">
        <f t="shared" si="49"/>
        <v>6221.0853634570531</v>
      </c>
      <c r="E415" s="219">
        <f t="shared" si="50"/>
        <v>0</v>
      </c>
      <c r="F415" s="218">
        <f t="shared" si="51"/>
        <v>0</v>
      </c>
      <c r="G415" s="218">
        <f t="shared" si="52"/>
        <v>0</v>
      </c>
      <c r="H415" s="218">
        <f t="shared" si="55"/>
        <v>0</v>
      </c>
      <c r="I415" s="218">
        <f t="shared" si="53"/>
        <v>0</v>
      </c>
      <c r="J415" s="218">
        <f>SUM($H$18:$H415)</f>
        <v>518060.48722969193</v>
      </c>
    </row>
    <row r="416" spans="1:10" x14ac:dyDescent="0.2">
      <c r="A416" s="221">
        <f>IF(Values_Entered,A415+1,"")</f>
        <v>399</v>
      </c>
      <c r="B416" s="220">
        <f t="shared" si="48"/>
        <v>55660</v>
      </c>
      <c r="C416" s="218">
        <f t="shared" si="54"/>
        <v>0</v>
      </c>
      <c r="D416" s="218">
        <f t="shared" si="49"/>
        <v>6221.0853634570531</v>
      </c>
      <c r="E416" s="219">
        <f t="shared" si="50"/>
        <v>0</v>
      </c>
      <c r="F416" s="218">
        <f t="shared" si="51"/>
        <v>0</v>
      </c>
      <c r="G416" s="218">
        <f t="shared" si="52"/>
        <v>0</v>
      </c>
      <c r="H416" s="218">
        <f t="shared" si="55"/>
        <v>0</v>
      </c>
      <c r="I416" s="218">
        <f t="shared" si="53"/>
        <v>0</v>
      </c>
      <c r="J416" s="218">
        <f>SUM($H$18:$H416)</f>
        <v>518060.48722969193</v>
      </c>
    </row>
    <row r="417" spans="1:10" x14ac:dyDescent="0.2">
      <c r="A417" s="221">
        <f>IF(Values_Entered,A416+1,"")</f>
        <v>400</v>
      </c>
      <c r="B417" s="220">
        <f t="shared" si="48"/>
        <v>55691</v>
      </c>
      <c r="C417" s="218">
        <f t="shared" si="54"/>
        <v>0</v>
      </c>
      <c r="D417" s="218">
        <f t="shared" si="49"/>
        <v>6221.0853634570531</v>
      </c>
      <c r="E417" s="219">
        <f t="shared" si="50"/>
        <v>0</v>
      </c>
      <c r="F417" s="218">
        <f t="shared" si="51"/>
        <v>0</v>
      </c>
      <c r="G417" s="218">
        <f t="shared" si="52"/>
        <v>0</v>
      </c>
      <c r="H417" s="218">
        <f t="shared" si="55"/>
        <v>0</v>
      </c>
      <c r="I417" s="218">
        <f t="shared" si="53"/>
        <v>0</v>
      </c>
      <c r="J417" s="218">
        <f>SUM($H$18:$H417)</f>
        <v>518060.48722969193</v>
      </c>
    </row>
    <row r="418" spans="1:10" x14ac:dyDescent="0.2">
      <c r="A418" s="221">
        <f>IF(Values_Entered,A417+1,"")</f>
        <v>401</v>
      </c>
      <c r="B418" s="220">
        <f t="shared" si="48"/>
        <v>55721</v>
      </c>
      <c r="C418" s="218">
        <f t="shared" si="54"/>
        <v>0</v>
      </c>
      <c r="D418" s="218">
        <f t="shared" si="49"/>
        <v>6221.0853634570531</v>
      </c>
      <c r="E418" s="219">
        <f t="shared" si="50"/>
        <v>0</v>
      </c>
      <c r="F418" s="218">
        <f t="shared" si="51"/>
        <v>0</v>
      </c>
      <c r="G418" s="218">
        <f t="shared" si="52"/>
        <v>0</v>
      </c>
      <c r="H418" s="218">
        <f t="shared" si="55"/>
        <v>0</v>
      </c>
      <c r="I418" s="218">
        <f t="shared" si="53"/>
        <v>0</v>
      </c>
      <c r="J418" s="218">
        <f>SUM($H$18:$H418)</f>
        <v>518060.48722969193</v>
      </c>
    </row>
    <row r="419" spans="1:10" x14ac:dyDescent="0.2">
      <c r="A419" s="221">
        <f>IF(Values_Entered,A418+1,"")</f>
        <v>402</v>
      </c>
      <c r="B419" s="220">
        <f t="shared" si="48"/>
        <v>55752</v>
      </c>
      <c r="C419" s="218">
        <f t="shared" si="54"/>
        <v>0</v>
      </c>
      <c r="D419" s="218">
        <f t="shared" si="49"/>
        <v>6221.0853634570531</v>
      </c>
      <c r="E419" s="219">
        <f t="shared" si="50"/>
        <v>0</v>
      </c>
      <c r="F419" s="218">
        <f t="shared" si="51"/>
        <v>0</v>
      </c>
      <c r="G419" s="218">
        <f t="shared" si="52"/>
        <v>0</v>
      </c>
      <c r="H419" s="218">
        <f t="shared" si="55"/>
        <v>0</v>
      </c>
      <c r="I419" s="218">
        <f t="shared" si="53"/>
        <v>0</v>
      </c>
      <c r="J419" s="218">
        <f>SUM($H$18:$H419)</f>
        <v>518060.48722969193</v>
      </c>
    </row>
    <row r="420" spans="1:10" x14ac:dyDescent="0.2">
      <c r="A420" s="221">
        <f>IF(Values_Entered,A419+1,"")</f>
        <v>403</v>
      </c>
      <c r="B420" s="220">
        <f t="shared" si="48"/>
        <v>55783</v>
      </c>
      <c r="C420" s="218">
        <f t="shared" si="54"/>
        <v>0</v>
      </c>
      <c r="D420" s="218">
        <f t="shared" si="49"/>
        <v>6221.0853634570531</v>
      </c>
      <c r="E420" s="219">
        <f t="shared" si="50"/>
        <v>0</v>
      </c>
      <c r="F420" s="218">
        <f t="shared" si="51"/>
        <v>0</v>
      </c>
      <c r="G420" s="218">
        <f t="shared" si="52"/>
        <v>0</v>
      </c>
      <c r="H420" s="218">
        <f t="shared" si="55"/>
        <v>0</v>
      </c>
      <c r="I420" s="218">
        <f t="shared" si="53"/>
        <v>0</v>
      </c>
      <c r="J420" s="218">
        <f>SUM($H$18:$H420)</f>
        <v>518060.48722969193</v>
      </c>
    </row>
    <row r="421" spans="1:10" x14ac:dyDescent="0.2">
      <c r="A421" s="221">
        <f>IF(Values_Entered,A420+1,"")</f>
        <v>404</v>
      </c>
      <c r="B421" s="220">
        <f t="shared" si="48"/>
        <v>55813</v>
      </c>
      <c r="C421" s="218">
        <f t="shared" si="54"/>
        <v>0</v>
      </c>
      <c r="D421" s="218">
        <f t="shared" si="49"/>
        <v>6221.0853634570531</v>
      </c>
      <c r="E421" s="219">
        <f t="shared" si="50"/>
        <v>0</v>
      </c>
      <c r="F421" s="218">
        <f t="shared" si="51"/>
        <v>0</v>
      </c>
      <c r="G421" s="218">
        <f t="shared" si="52"/>
        <v>0</v>
      </c>
      <c r="H421" s="218">
        <f t="shared" si="55"/>
        <v>0</v>
      </c>
      <c r="I421" s="218">
        <f t="shared" si="53"/>
        <v>0</v>
      </c>
      <c r="J421" s="218">
        <f>SUM($H$18:$H421)</f>
        <v>518060.48722969193</v>
      </c>
    </row>
    <row r="422" spans="1:10" x14ac:dyDescent="0.2">
      <c r="A422" s="221">
        <f>IF(Values_Entered,A421+1,"")</f>
        <v>405</v>
      </c>
      <c r="B422" s="220">
        <f t="shared" si="48"/>
        <v>55844</v>
      </c>
      <c r="C422" s="218">
        <f t="shared" si="54"/>
        <v>0</v>
      </c>
      <c r="D422" s="218">
        <f t="shared" si="49"/>
        <v>6221.0853634570531</v>
      </c>
      <c r="E422" s="219">
        <f t="shared" si="50"/>
        <v>0</v>
      </c>
      <c r="F422" s="218">
        <f t="shared" si="51"/>
        <v>0</v>
      </c>
      <c r="G422" s="218">
        <f t="shared" si="52"/>
        <v>0</v>
      </c>
      <c r="H422" s="218">
        <f t="shared" si="55"/>
        <v>0</v>
      </c>
      <c r="I422" s="218">
        <f t="shared" si="53"/>
        <v>0</v>
      </c>
      <c r="J422" s="218">
        <f>SUM($H$18:$H422)</f>
        <v>518060.48722969193</v>
      </c>
    </row>
    <row r="423" spans="1:10" x14ac:dyDescent="0.2">
      <c r="A423" s="221">
        <f>IF(Values_Entered,A422+1,"")</f>
        <v>406</v>
      </c>
      <c r="B423" s="220">
        <f t="shared" si="48"/>
        <v>55874</v>
      </c>
      <c r="C423" s="218">
        <f t="shared" si="54"/>
        <v>0</v>
      </c>
      <c r="D423" s="218">
        <f t="shared" si="49"/>
        <v>6221.0853634570531</v>
      </c>
      <c r="E423" s="219">
        <f t="shared" si="50"/>
        <v>0</v>
      </c>
      <c r="F423" s="218">
        <f t="shared" si="51"/>
        <v>0</v>
      </c>
      <c r="G423" s="218">
        <f t="shared" si="52"/>
        <v>0</v>
      </c>
      <c r="H423" s="218">
        <f t="shared" si="55"/>
        <v>0</v>
      </c>
      <c r="I423" s="218">
        <f t="shared" si="53"/>
        <v>0</v>
      </c>
      <c r="J423" s="218">
        <f>SUM($H$18:$H423)</f>
        <v>518060.48722969193</v>
      </c>
    </row>
    <row r="424" spans="1:10" x14ac:dyDescent="0.2">
      <c r="A424" s="221">
        <f>IF(Values_Entered,A423+1,"")</f>
        <v>407</v>
      </c>
      <c r="B424" s="220">
        <f t="shared" si="48"/>
        <v>55905</v>
      </c>
      <c r="C424" s="218">
        <f t="shared" si="54"/>
        <v>0</v>
      </c>
      <c r="D424" s="218">
        <f t="shared" si="49"/>
        <v>6221.0853634570531</v>
      </c>
      <c r="E424" s="219">
        <f t="shared" si="50"/>
        <v>0</v>
      </c>
      <c r="F424" s="218">
        <f t="shared" si="51"/>
        <v>0</v>
      </c>
      <c r="G424" s="218">
        <f t="shared" si="52"/>
        <v>0</v>
      </c>
      <c r="H424" s="218">
        <f t="shared" si="55"/>
        <v>0</v>
      </c>
      <c r="I424" s="218">
        <f t="shared" si="53"/>
        <v>0</v>
      </c>
      <c r="J424" s="218">
        <f>SUM($H$18:$H424)</f>
        <v>518060.48722969193</v>
      </c>
    </row>
    <row r="425" spans="1:10" x14ac:dyDescent="0.2">
      <c r="A425" s="221">
        <f>IF(Values_Entered,A424+1,"")</f>
        <v>408</v>
      </c>
      <c r="B425" s="220">
        <f t="shared" si="48"/>
        <v>55936</v>
      </c>
      <c r="C425" s="218">
        <f t="shared" si="54"/>
        <v>0</v>
      </c>
      <c r="D425" s="218">
        <f t="shared" si="49"/>
        <v>6221.0853634570531</v>
      </c>
      <c r="E425" s="219">
        <f t="shared" si="50"/>
        <v>0</v>
      </c>
      <c r="F425" s="218">
        <f t="shared" si="51"/>
        <v>0</v>
      </c>
      <c r="G425" s="218">
        <f t="shared" si="52"/>
        <v>0</v>
      </c>
      <c r="H425" s="218">
        <f t="shared" si="55"/>
        <v>0</v>
      </c>
      <c r="I425" s="218">
        <f t="shared" si="53"/>
        <v>0</v>
      </c>
      <c r="J425" s="218">
        <f>SUM($H$18:$H425)</f>
        <v>518060.48722969193</v>
      </c>
    </row>
    <row r="426" spans="1:10" x14ac:dyDescent="0.2">
      <c r="A426" s="221">
        <f>IF(Values_Entered,A425+1,"")</f>
        <v>409</v>
      </c>
      <c r="B426" s="220">
        <f t="shared" si="48"/>
        <v>55964</v>
      </c>
      <c r="C426" s="218">
        <f t="shared" si="54"/>
        <v>0</v>
      </c>
      <c r="D426" s="218">
        <f t="shared" si="49"/>
        <v>6221.0853634570531</v>
      </c>
      <c r="E426" s="219">
        <f t="shared" si="50"/>
        <v>0</v>
      </c>
      <c r="F426" s="218">
        <f t="shared" si="51"/>
        <v>0</v>
      </c>
      <c r="G426" s="218">
        <f t="shared" si="52"/>
        <v>0</v>
      </c>
      <c r="H426" s="218">
        <f t="shared" si="55"/>
        <v>0</v>
      </c>
      <c r="I426" s="218">
        <f t="shared" si="53"/>
        <v>0</v>
      </c>
      <c r="J426" s="218">
        <f>SUM($H$18:$H426)</f>
        <v>518060.48722969193</v>
      </c>
    </row>
    <row r="427" spans="1:10" x14ac:dyDescent="0.2">
      <c r="A427" s="221">
        <f>IF(Values_Entered,A426+1,"")</f>
        <v>410</v>
      </c>
      <c r="B427" s="220">
        <f t="shared" si="48"/>
        <v>55995</v>
      </c>
      <c r="C427" s="218">
        <f t="shared" si="54"/>
        <v>0</v>
      </c>
      <c r="D427" s="218">
        <f t="shared" si="49"/>
        <v>6221.0853634570531</v>
      </c>
      <c r="E427" s="219">
        <f t="shared" si="50"/>
        <v>0</v>
      </c>
      <c r="F427" s="218">
        <f t="shared" si="51"/>
        <v>0</v>
      </c>
      <c r="G427" s="218">
        <f t="shared" si="52"/>
        <v>0</v>
      </c>
      <c r="H427" s="218">
        <f t="shared" si="55"/>
        <v>0</v>
      </c>
      <c r="I427" s="218">
        <f t="shared" si="53"/>
        <v>0</v>
      </c>
      <c r="J427" s="218">
        <f>SUM($H$18:$H427)</f>
        <v>518060.48722969193</v>
      </c>
    </row>
    <row r="428" spans="1:10" x14ac:dyDescent="0.2">
      <c r="A428" s="221">
        <f>IF(Values_Entered,A427+1,"")</f>
        <v>411</v>
      </c>
      <c r="B428" s="220">
        <f t="shared" si="48"/>
        <v>56025</v>
      </c>
      <c r="C428" s="218">
        <f t="shared" si="54"/>
        <v>0</v>
      </c>
      <c r="D428" s="218">
        <f t="shared" si="49"/>
        <v>6221.0853634570531</v>
      </c>
      <c r="E428" s="219">
        <f t="shared" si="50"/>
        <v>0</v>
      </c>
      <c r="F428" s="218">
        <f t="shared" si="51"/>
        <v>0</v>
      </c>
      <c r="G428" s="218">
        <f t="shared" si="52"/>
        <v>0</v>
      </c>
      <c r="H428" s="218">
        <f t="shared" si="55"/>
        <v>0</v>
      </c>
      <c r="I428" s="218">
        <f t="shared" si="53"/>
        <v>0</v>
      </c>
      <c r="J428" s="218">
        <f>SUM($H$18:$H428)</f>
        <v>518060.48722969193</v>
      </c>
    </row>
    <row r="429" spans="1:10" x14ac:dyDescent="0.2">
      <c r="A429" s="221">
        <f>IF(Values_Entered,A428+1,"")</f>
        <v>412</v>
      </c>
      <c r="B429" s="220">
        <f t="shared" si="48"/>
        <v>56056</v>
      </c>
      <c r="C429" s="218">
        <f t="shared" si="54"/>
        <v>0</v>
      </c>
      <c r="D429" s="218">
        <f t="shared" si="49"/>
        <v>6221.0853634570531</v>
      </c>
      <c r="E429" s="219">
        <f t="shared" si="50"/>
        <v>0</v>
      </c>
      <c r="F429" s="218">
        <f t="shared" si="51"/>
        <v>0</v>
      </c>
      <c r="G429" s="218">
        <f t="shared" si="52"/>
        <v>0</v>
      </c>
      <c r="H429" s="218">
        <f t="shared" si="55"/>
        <v>0</v>
      </c>
      <c r="I429" s="218">
        <f t="shared" si="53"/>
        <v>0</v>
      </c>
      <c r="J429" s="218">
        <f>SUM($H$18:$H429)</f>
        <v>518060.48722969193</v>
      </c>
    </row>
    <row r="430" spans="1:10" x14ac:dyDescent="0.2">
      <c r="A430" s="221">
        <f>IF(Values_Entered,A429+1,"")</f>
        <v>413</v>
      </c>
      <c r="B430" s="220">
        <f t="shared" si="48"/>
        <v>56086</v>
      </c>
      <c r="C430" s="218">
        <f t="shared" si="54"/>
        <v>0</v>
      </c>
      <c r="D430" s="218">
        <f t="shared" si="49"/>
        <v>6221.0853634570531</v>
      </c>
      <c r="E430" s="219">
        <f t="shared" si="50"/>
        <v>0</v>
      </c>
      <c r="F430" s="218">
        <f t="shared" si="51"/>
        <v>0</v>
      </c>
      <c r="G430" s="218">
        <f t="shared" si="52"/>
        <v>0</v>
      </c>
      <c r="H430" s="218">
        <f t="shared" si="55"/>
        <v>0</v>
      </c>
      <c r="I430" s="218">
        <f t="shared" si="53"/>
        <v>0</v>
      </c>
      <c r="J430" s="218">
        <f>SUM($H$18:$H430)</f>
        <v>518060.48722969193</v>
      </c>
    </row>
    <row r="431" spans="1:10" x14ac:dyDescent="0.2">
      <c r="A431" s="221">
        <f>IF(Values_Entered,A430+1,"")</f>
        <v>414</v>
      </c>
      <c r="B431" s="220">
        <f t="shared" si="48"/>
        <v>56117</v>
      </c>
      <c r="C431" s="218">
        <f t="shared" si="54"/>
        <v>0</v>
      </c>
      <c r="D431" s="218">
        <f t="shared" si="49"/>
        <v>6221.0853634570531</v>
      </c>
      <c r="E431" s="219">
        <f t="shared" si="50"/>
        <v>0</v>
      </c>
      <c r="F431" s="218">
        <f t="shared" si="51"/>
        <v>0</v>
      </c>
      <c r="G431" s="218">
        <f t="shared" si="52"/>
        <v>0</v>
      </c>
      <c r="H431" s="218">
        <f t="shared" si="55"/>
        <v>0</v>
      </c>
      <c r="I431" s="218">
        <f t="shared" si="53"/>
        <v>0</v>
      </c>
      <c r="J431" s="218">
        <f>SUM($H$18:$H431)</f>
        <v>518060.48722969193</v>
      </c>
    </row>
    <row r="432" spans="1:10" x14ac:dyDescent="0.2">
      <c r="A432" s="221">
        <f>IF(Values_Entered,A431+1,"")</f>
        <v>415</v>
      </c>
      <c r="B432" s="220">
        <f t="shared" si="48"/>
        <v>56148</v>
      </c>
      <c r="C432" s="218">
        <f t="shared" si="54"/>
        <v>0</v>
      </c>
      <c r="D432" s="218">
        <f t="shared" si="49"/>
        <v>6221.0853634570531</v>
      </c>
      <c r="E432" s="219">
        <f t="shared" si="50"/>
        <v>0</v>
      </c>
      <c r="F432" s="218">
        <f t="shared" si="51"/>
        <v>0</v>
      </c>
      <c r="G432" s="218">
        <f t="shared" si="52"/>
        <v>0</v>
      </c>
      <c r="H432" s="218">
        <f t="shared" si="55"/>
        <v>0</v>
      </c>
      <c r="I432" s="218">
        <f t="shared" si="53"/>
        <v>0</v>
      </c>
      <c r="J432" s="218">
        <f>SUM($H$18:$H432)</f>
        <v>518060.48722969193</v>
      </c>
    </row>
    <row r="433" spans="1:10" x14ac:dyDescent="0.2">
      <c r="A433" s="221">
        <f>IF(Values_Entered,A432+1,"")</f>
        <v>416</v>
      </c>
      <c r="B433" s="220">
        <f t="shared" si="48"/>
        <v>56178</v>
      </c>
      <c r="C433" s="218">
        <f t="shared" si="54"/>
        <v>0</v>
      </c>
      <c r="D433" s="218">
        <f t="shared" si="49"/>
        <v>6221.0853634570531</v>
      </c>
      <c r="E433" s="219">
        <f t="shared" si="50"/>
        <v>0</v>
      </c>
      <c r="F433" s="218">
        <f t="shared" si="51"/>
        <v>0</v>
      </c>
      <c r="G433" s="218">
        <f t="shared" si="52"/>
        <v>0</v>
      </c>
      <c r="H433" s="218">
        <f t="shared" si="55"/>
        <v>0</v>
      </c>
      <c r="I433" s="218">
        <f t="shared" si="53"/>
        <v>0</v>
      </c>
      <c r="J433" s="218">
        <f>SUM($H$18:$H433)</f>
        <v>518060.48722969193</v>
      </c>
    </row>
    <row r="434" spans="1:10" x14ac:dyDescent="0.2">
      <c r="A434" s="221">
        <f>IF(Values_Entered,A433+1,"")</f>
        <v>417</v>
      </c>
      <c r="B434" s="220">
        <f t="shared" si="48"/>
        <v>56209</v>
      </c>
      <c r="C434" s="218">
        <f t="shared" si="54"/>
        <v>0</v>
      </c>
      <c r="D434" s="218">
        <f t="shared" si="49"/>
        <v>6221.0853634570531</v>
      </c>
      <c r="E434" s="219">
        <f t="shared" si="50"/>
        <v>0</v>
      </c>
      <c r="F434" s="218">
        <f t="shared" si="51"/>
        <v>0</v>
      </c>
      <c r="G434" s="218">
        <f t="shared" si="52"/>
        <v>0</v>
      </c>
      <c r="H434" s="218">
        <f t="shared" si="55"/>
        <v>0</v>
      </c>
      <c r="I434" s="218">
        <f t="shared" si="53"/>
        <v>0</v>
      </c>
      <c r="J434" s="218">
        <f>SUM($H$18:$H434)</f>
        <v>518060.48722969193</v>
      </c>
    </row>
    <row r="435" spans="1:10" x14ac:dyDescent="0.2">
      <c r="A435" s="221">
        <f>IF(Values_Entered,A434+1,"")</f>
        <v>418</v>
      </c>
      <c r="B435" s="220">
        <f t="shared" si="48"/>
        <v>56239</v>
      </c>
      <c r="C435" s="218">
        <f t="shared" si="54"/>
        <v>0</v>
      </c>
      <c r="D435" s="218">
        <f t="shared" si="49"/>
        <v>6221.0853634570531</v>
      </c>
      <c r="E435" s="219">
        <f t="shared" si="50"/>
        <v>0</v>
      </c>
      <c r="F435" s="218">
        <f t="shared" si="51"/>
        <v>0</v>
      </c>
      <c r="G435" s="218">
        <f t="shared" si="52"/>
        <v>0</v>
      </c>
      <c r="H435" s="218">
        <f t="shared" si="55"/>
        <v>0</v>
      </c>
      <c r="I435" s="218">
        <f t="shared" si="53"/>
        <v>0</v>
      </c>
      <c r="J435" s="218">
        <f>SUM($H$18:$H435)</f>
        <v>518060.48722969193</v>
      </c>
    </row>
    <row r="436" spans="1:10" x14ac:dyDescent="0.2">
      <c r="A436" s="221">
        <f>IF(Values_Entered,A435+1,"")</f>
        <v>419</v>
      </c>
      <c r="B436" s="220">
        <f t="shared" si="48"/>
        <v>56270</v>
      </c>
      <c r="C436" s="218">
        <f t="shared" si="54"/>
        <v>0</v>
      </c>
      <c r="D436" s="218">
        <f t="shared" si="49"/>
        <v>6221.0853634570531</v>
      </c>
      <c r="E436" s="219">
        <f t="shared" si="50"/>
        <v>0</v>
      </c>
      <c r="F436" s="218">
        <f t="shared" si="51"/>
        <v>0</v>
      </c>
      <c r="G436" s="218">
        <f t="shared" si="52"/>
        <v>0</v>
      </c>
      <c r="H436" s="218">
        <f t="shared" si="55"/>
        <v>0</v>
      </c>
      <c r="I436" s="218">
        <f t="shared" si="53"/>
        <v>0</v>
      </c>
      <c r="J436" s="218">
        <f>SUM($H$18:$H436)</f>
        <v>518060.48722969193</v>
      </c>
    </row>
    <row r="437" spans="1:10" x14ac:dyDescent="0.2">
      <c r="A437" s="221">
        <f>IF(Values_Entered,A436+1,"")</f>
        <v>420</v>
      </c>
      <c r="B437" s="220">
        <f t="shared" si="48"/>
        <v>56301</v>
      </c>
      <c r="C437" s="218">
        <f t="shared" si="54"/>
        <v>0</v>
      </c>
      <c r="D437" s="218">
        <f t="shared" si="49"/>
        <v>6221.0853634570531</v>
      </c>
      <c r="E437" s="219">
        <f t="shared" si="50"/>
        <v>0</v>
      </c>
      <c r="F437" s="218">
        <f t="shared" si="51"/>
        <v>0</v>
      </c>
      <c r="G437" s="218">
        <f t="shared" si="52"/>
        <v>0</v>
      </c>
      <c r="H437" s="218">
        <f t="shared" si="55"/>
        <v>0</v>
      </c>
      <c r="I437" s="218">
        <f t="shared" si="53"/>
        <v>0</v>
      </c>
      <c r="J437" s="218">
        <f>SUM($H$18:$H437)</f>
        <v>518060.48722969193</v>
      </c>
    </row>
    <row r="438" spans="1:10" x14ac:dyDescent="0.2">
      <c r="A438" s="221">
        <f>IF(Values_Entered,A437+1,"")</f>
        <v>421</v>
      </c>
      <c r="B438" s="220">
        <f t="shared" si="48"/>
        <v>56329</v>
      </c>
      <c r="C438" s="218">
        <f t="shared" si="54"/>
        <v>0</v>
      </c>
      <c r="D438" s="218">
        <f t="shared" si="49"/>
        <v>6221.0853634570531</v>
      </c>
      <c r="E438" s="219">
        <f t="shared" si="50"/>
        <v>0</v>
      </c>
      <c r="F438" s="218">
        <f t="shared" si="51"/>
        <v>0</v>
      </c>
      <c r="G438" s="218">
        <f t="shared" si="52"/>
        <v>0</v>
      </c>
      <c r="H438" s="218">
        <f t="shared" si="55"/>
        <v>0</v>
      </c>
      <c r="I438" s="218">
        <f t="shared" si="53"/>
        <v>0</v>
      </c>
      <c r="J438" s="218">
        <f>SUM($H$18:$H438)</f>
        <v>518060.48722969193</v>
      </c>
    </row>
    <row r="439" spans="1:10" x14ac:dyDescent="0.2">
      <c r="A439" s="221">
        <f>IF(Values_Entered,A438+1,"")</f>
        <v>422</v>
      </c>
      <c r="B439" s="220">
        <f t="shared" si="48"/>
        <v>56360</v>
      </c>
      <c r="C439" s="218">
        <f t="shared" si="54"/>
        <v>0</v>
      </c>
      <c r="D439" s="218">
        <f t="shared" si="49"/>
        <v>6221.0853634570531</v>
      </c>
      <c r="E439" s="219">
        <f t="shared" si="50"/>
        <v>0</v>
      </c>
      <c r="F439" s="218">
        <f t="shared" si="51"/>
        <v>0</v>
      </c>
      <c r="G439" s="218">
        <f t="shared" si="52"/>
        <v>0</v>
      </c>
      <c r="H439" s="218">
        <f t="shared" si="55"/>
        <v>0</v>
      </c>
      <c r="I439" s="218">
        <f t="shared" si="53"/>
        <v>0</v>
      </c>
      <c r="J439" s="218">
        <f>SUM($H$18:$H439)</f>
        <v>518060.48722969193</v>
      </c>
    </row>
    <row r="440" spans="1:10" x14ac:dyDescent="0.2">
      <c r="A440" s="221">
        <f>IF(Values_Entered,A439+1,"")</f>
        <v>423</v>
      </c>
      <c r="B440" s="220">
        <f t="shared" si="48"/>
        <v>56390</v>
      </c>
      <c r="C440" s="218">
        <f t="shared" si="54"/>
        <v>0</v>
      </c>
      <c r="D440" s="218">
        <f t="shared" si="49"/>
        <v>6221.0853634570531</v>
      </c>
      <c r="E440" s="219">
        <f t="shared" si="50"/>
        <v>0</v>
      </c>
      <c r="F440" s="218">
        <f t="shared" si="51"/>
        <v>0</v>
      </c>
      <c r="G440" s="218">
        <f t="shared" si="52"/>
        <v>0</v>
      </c>
      <c r="H440" s="218">
        <f t="shared" si="55"/>
        <v>0</v>
      </c>
      <c r="I440" s="218">
        <f t="shared" si="53"/>
        <v>0</v>
      </c>
      <c r="J440" s="218">
        <f>SUM($H$18:$H440)</f>
        <v>518060.48722969193</v>
      </c>
    </row>
    <row r="441" spans="1:10" x14ac:dyDescent="0.2">
      <c r="A441" s="221">
        <f>IF(Values_Entered,A440+1,"")</f>
        <v>424</v>
      </c>
      <c r="B441" s="220">
        <f t="shared" si="48"/>
        <v>56421</v>
      </c>
      <c r="C441" s="218">
        <f t="shared" si="54"/>
        <v>0</v>
      </c>
      <c r="D441" s="218">
        <f t="shared" si="49"/>
        <v>6221.0853634570531</v>
      </c>
      <c r="E441" s="219">
        <f t="shared" si="50"/>
        <v>0</v>
      </c>
      <c r="F441" s="218">
        <f t="shared" si="51"/>
        <v>0</v>
      </c>
      <c r="G441" s="218">
        <f t="shared" si="52"/>
        <v>0</v>
      </c>
      <c r="H441" s="218">
        <f t="shared" si="55"/>
        <v>0</v>
      </c>
      <c r="I441" s="218">
        <f t="shared" si="53"/>
        <v>0</v>
      </c>
      <c r="J441" s="218">
        <f>SUM($H$18:$H441)</f>
        <v>518060.48722969193</v>
      </c>
    </row>
    <row r="442" spans="1:10" x14ac:dyDescent="0.2">
      <c r="A442" s="221">
        <f>IF(Values_Entered,A441+1,"")</f>
        <v>425</v>
      </c>
      <c r="B442" s="220">
        <f t="shared" si="48"/>
        <v>56451</v>
      </c>
      <c r="C442" s="218">
        <f t="shared" si="54"/>
        <v>0</v>
      </c>
      <c r="D442" s="218">
        <f t="shared" si="49"/>
        <v>6221.0853634570531</v>
      </c>
      <c r="E442" s="219">
        <f t="shared" si="50"/>
        <v>0</v>
      </c>
      <c r="F442" s="218">
        <f t="shared" si="51"/>
        <v>0</v>
      </c>
      <c r="G442" s="218">
        <f t="shared" si="52"/>
        <v>0</v>
      </c>
      <c r="H442" s="218">
        <f t="shared" si="55"/>
        <v>0</v>
      </c>
      <c r="I442" s="218">
        <f t="shared" si="53"/>
        <v>0</v>
      </c>
      <c r="J442" s="218">
        <f>SUM($H$18:$H442)</f>
        <v>518060.48722969193</v>
      </c>
    </row>
    <row r="443" spans="1:10" x14ac:dyDescent="0.2">
      <c r="A443" s="221">
        <f>IF(Values_Entered,A442+1,"")</f>
        <v>426</v>
      </c>
      <c r="B443" s="220">
        <f t="shared" si="48"/>
        <v>56482</v>
      </c>
      <c r="C443" s="218">
        <f t="shared" si="54"/>
        <v>0</v>
      </c>
      <c r="D443" s="218">
        <f t="shared" si="49"/>
        <v>6221.0853634570531</v>
      </c>
      <c r="E443" s="219">
        <f t="shared" si="50"/>
        <v>0</v>
      </c>
      <c r="F443" s="218">
        <f t="shared" si="51"/>
        <v>0</v>
      </c>
      <c r="G443" s="218">
        <f t="shared" si="52"/>
        <v>0</v>
      </c>
      <c r="H443" s="218">
        <f t="shared" si="55"/>
        <v>0</v>
      </c>
      <c r="I443" s="218">
        <f t="shared" si="53"/>
        <v>0</v>
      </c>
      <c r="J443" s="218">
        <f>SUM($H$18:$H443)</f>
        <v>518060.48722969193</v>
      </c>
    </row>
    <row r="444" spans="1:10" x14ac:dyDescent="0.2">
      <c r="A444" s="221">
        <f>IF(Values_Entered,A443+1,"")</f>
        <v>427</v>
      </c>
      <c r="B444" s="220">
        <f t="shared" si="48"/>
        <v>56513</v>
      </c>
      <c r="C444" s="218">
        <f t="shared" si="54"/>
        <v>0</v>
      </c>
      <c r="D444" s="218">
        <f t="shared" si="49"/>
        <v>6221.0853634570531</v>
      </c>
      <c r="E444" s="219">
        <f t="shared" si="50"/>
        <v>0</v>
      </c>
      <c r="F444" s="218">
        <f t="shared" si="51"/>
        <v>0</v>
      </c>
      <c r="G444" s="218">
        <f t="shared" si="52"/>
        <v>0</v>
      </c>
      <c r="H444" s="218">
        <f t="shared" si="55"/>
        <v>0</v>
      </c>
      <c r="I444" s="218">
        <f t="shared" si="53"/>
        <v>0</v>
      </c>
      <c r="J444" s="218">
        <f>SUM($H$18:$H444)</f>
        <v>518060.48722969193</v>
      </c>
    </row>
    <row r="445" spans="1:10" x14ac:dyDescent="0.2">
      <c r="A445" s="221">
        <f>IF(Values_Entered,A444+1,"")</f>
        <v>428</v>
      </c>
      <c r="B445" s="220">
        <f t="shared" si="48"/>
        <v>56543</v>
      </c>
      <c r="C445" s="218">
        <f t="shared" si="54"/>
        <v>0</v>
      </c>
      <c r="D445" s="218">
        <f t="shared" si="49"/>
        <v>6221.0853634570531</v>
      </c>
      <c r="E445" s="219">
        <f t="shared" si="50"/>
        <v>0</v>
      </c>
      <c r="F445" s="218">
        <f t="shared" si="51"/>
        <v>0</v>
      </c>
      <c r="G445" s="218">
        <f t="shared" si="52"/>
        <v>0</v>
      </c>
      <c r="H445" s="218">
        <f t="shared" si="55"/>
        <v>0</v>
      </c>
      <c r="I445" s="218">
        <f t="shared" si="53"/>
        <v>0</v>
      </c>
      <c r="J445" s="218">
        <f>SUM($H$18:$H445)</f>
        <v>518060.48722969193</v>
      </c>
    </row>
    <row r="446" spans="1:10" x14ac:dyDescent="0.2">
      <c r="A446" s="221">
        <f>IF(Values_Entered,A445+1,"")</f>
        <v>429</v>
      </c>
      <c r="B446" s="220">
        <f t="shared" si="48"/>
        <v>56574</v>
      </c>
      <c r="C446" s="218">
        <f t="shared" si="54"/>
        <v>0</v>
      </c>
      <c r="D446" s="218">
        <f t="shared" si="49"/>
        <v>6221.0853634570531</v>
      </c>
      <c r="E446" s="219">
        <f t="shared" si="50"/>
        <v>0</v>
      </c>
      <c r="F446" s="218">
        <f t="shared" si="51"/>
        <v>0</v>
      </c>
      <c r="G446" s="218">
        <f t="shared" si="52"/>
        <v>0</v>
      </c>
      <c r="H446" s="218">
        <f t="shared" si="55"/>
        <v>0</v>
      </c>
      <c r="I446" s="218">
        <f t="shared" si="53"/>
        <v>0</v>
      </c>
      <c r="J446" s="218">
        <f>SUM($H$18:$H446)</f>
        <v>518060.48722969193</v>
      </c>
    </row>
    <row r="447" spans="1:10" x14ac:dyDescent="0.2">
      <c r="A447" s="221">
        <f>IF(Values_Entered,A446+1,"")</f>
        <v>430</v>
      </c>
      <c r="B447" s="220">
        <f t="shared" si="48"/>
        <v>56604</v>
      </c>
      <c r="C447" s="218">
        <f t="shared" si="54"/>
        <v>0</v>
      </c>
      <c r="D447" s="218">
        <f t="shared" si="49"/>
        <v>6221.0853634570531</v>
      </c>
      <c r="E447" s="219">
        <f t="shared" si="50"/>
        <v>0</v>
      </c>
      <c r="F447" s="218">
        <f t="shared" si="51"/>
        <v>0</v>
      </c>
      <c r="G447" s="218">
        <f t="shared" si="52"/>
        <v>0</v>
      </c>
      <c r="H447" s="218">
        <f t="shared" si="55"/>
        <v>0</v>
      </c>
      <c r="I447" s="218">
        <f t="shared" si="53"/>
        <v>0</v>
      </c>
      <c r="J447" s="218">
        <f>SUM($H$18:$H447)</f>
        <v>518060.48722969193</v>
      </c>
    </row>
    <row r="448" spans="1:10" x14ac:dyDescent="0.2">
      <c r="A448" s="221">
        <f>IF(Values_Entered,A447+1,"")</f>
        <v>431</v>
      </c>
      <c r="B448" s="220">
        <f t="shared" si="48"/>
        <v>56635</v>
      </c>
      <c r="C448" s="218">
        <f t="shared" si="54"/>
        <v>0</v>
      </c>
      <c r="D448" s="218">
        <f t="shared" si="49"/>
        <v>6221.0853634570531</v>
      </c>
      <c r="E448" s="219">
        <f t="shared" si="50"/>
        <v>0</v>
      </c>
      <c r="F448" s="218">
        <f t="shared" si="51"/>
        <v>0</v>
      </c>
      <c r="G448" s="218">
        <f t="shared" si="52"/>
        <v>0</v>
      </c>
      <c r="H448" s="218">
        <f t="shared" si="55"/>
        <v>0</v>
      </c>
      <c r="I448" s="218">
        <f t="shared" si="53"/>
        <v>0</v>
      </c>
      <c r="J448" s="218">
        <f>SUM($H$18:$H448)</f>
        <v>518060.48722969193</v>
      </c>
    </row>
    <row r="449" spans="1:10" x14ac:dyDescent="0.2">
      <c r="A449" s="221">
        <f>IF(Values_Entered,A448+1,"")</f>
        <v>432</v>
      </c>
      <c r="B449" s="220">
        <f t="shared" si="48"/>
        <v>56666</v>
      </c>
      <c r="C449" s="218">
        <f t="shared" si="54"/>
        <v>0</v>
      </c>
      <c r="D449" s="218">
        <f t="shared" si="49"/>
        <v>6221.0853634570531</v>
      </c>
      <c r="E449" s="219">
        <f t="shared" si="50"/>
        <v>0</v>
      </c>
      <c r="F449" s="218">
        <f t="shared" si="51"/>
        <v>0</v>
      </c>
      <c r="G449" s="218">
        <f t="shared" si="52"/>
        <v>0</v>
      </c>
      <c r="H449" s="218">
        <f t="shared" si="55"/>
        <v>0</v>
      </c>
      <c r="I449" s="218">
        <f t="shared" si="53"/>
        <v>0</v>
      </c>
      <c r="J449" s="218">
        <f>SUM($H$18:$H449)</f>
        <v>518060.48722969193</v>
      </c>
    </row>
    <row r="450" spans="1:10" x14ac:dyDescent="0.2">
      <c r="A450" s="221">
        <f>IF(Values_Entered,A449+1,"")</f>
        <v>433</v>
      </c>
      <c r="B450" s="220">
        <f t="shared" si="48"/>
        <v>56694</v>
      </c>
      <c r="C450" s="218">
        <f t="shared" si="54"/>
        <v>0</v>
      </c>
      <c r="D450" s="218">
        <f t="shared" si="49"/>
        <v>6221.0853634570531</v>
      </c>
      <c r="E450" s="219">
        <f t="shared" si="50"/>
        <v>0</v>
      </c>
      <c r="F450" s="218">
        <f t="shared" si="51"/>
        <v>0</v>
      </c>
      <c r="G450" s="218">
        <f t="shared" si="52"/>
        <v>0</v>
      </c>
      <c r="H450" s="218">
        <f t="shared" si="55"/>
        <v>0</v>
      </c>
      <c r="I450" s="218">
        <f t="shared" si="53"/>
        <v>0</v>
      </c>
      <c r="J450" s="218">
        <f>SUM($H$18:$H450)</f>
        <v>518060.48722969193</v>
      </c>
    </row>
    <row r="451" spans="1:10" x14ac:dyDescent="0.2">
      <c r="A451" s="221">
        <f>IF(Values_Entered,A450+1,"")</f>
        <v>434</v>
      </c>
      <c r="B451" s="220">
        <f t="shared" si="48"/>
        <v>56725</v>
      </c>
      <c r="C451" s="218">
        <f t="shared" si="54"/>
        <v>0</v>
      </c>
      <c r="D451" s="218">
        <f t="shared" si="49"/>
        <v>6221.0853634570531</v>
      </c>
      <c r="E451" s="219">
        <f t="shared" si="50"/>
        <v>0</v>
      </c>
      <c r="F451" s="218">
        <f t="shared" si="51"/>
        <v>0</v>
      </c>
      <c r="G451" s="218">
        <f t="shared" si="52"/>
        <v>0</v>
      </c>
      <c r="H451" s="218">
        <f t="shared" si="55"/>
        <v>0</v>
      </c>
      <c r="I451" s="218">
        <f t="shared" si="53"/>
        <v>0</v>
      </c>
      <c r="J451" s="218">
        <f>SUM($H$18:$H451)</f>
        <v>518060.48722969193</v>
      </c>
    </row>
    <row r="452" spans="1:10" x14ac:dyDescent="0.2">
      <c r="A452" s="221">
        <f>IF(Values_Entered,A451+1,"")</f>
        <v>435</v>
      </c>
      <c r="B452" s="220">
        <f t="shared" si="48"/>
        <v>56755</v>
      </c>
      <c r="C452" s="218">
        <f t="shared" si="54"/>
        <v>0</v>
      </c>
      <c r="D452" s="218">
        <f t="shared" si="49"/>
        <v>6221.0853634570531</v>
      </c>
      <c r="E452" s="219">
        <f t="shared" si="50"/>
        <v>0</v>
      </c>
      <c r="F452" s="218">
        <f t="shared" si="51"/>
        <v>0</v>
      </c>
      <c r="G452" s="218">
        <f t="shared" si="52"/>
        <v>0</v>
      </c>
      <c r="H452" s="218">
        <f t="shared" si="55"/>
        <v>0</v>
      </c>
      <c r="I452" s="218">
        <f t="shared" si="53"/>
        <v>0</v>
      </c>
      <c r="J452" s="218">
        <f>SUM($H$18:$H452)</f>
        <v>518060.48722969193</v>
      </c>
    </row>
    <row r="453" spans="1:10" x14ac:dyDescent="0.2">
      <c r="A453" s="221">
        <f>IF(Values_Entered,A452+1,"")</f>
        <v>436</v>
      </c>
      <c r="B453" s="220">
        <f t="shared" si="48"/>
        <v>56786</v>
      </c>
      <c r="C453" s="218">
        <f t="shared" si="54"/>
        <v>0</v>
      </c>
      <c r="D453" s="218">
        <f t="shared" si="49"/>
        <v>6221.0853634570531</v>
      </c>
      <c r="E453" s="219">
        <f t="shared" si="50"/>
        <v>0</v>
      </c>
      <c r="F453" s="218">
        <f t="shared" si="51"/>
        <v>0</v>
      </c>
      <c r="G453" s="218">
        <f t="shared" si="52"/>
        <v>0</v>
      </c>
      <c r="H453" s="218">
        <f t="shared" si="55"/>
        <v>0</v>
      </c>
      <c r="I453" s="218">
        <f t="shared" si="53"/>
        <v>0</v>
      </c>
      <c r="J453" s="218">
        <f>SUM($H$18:$H453)</f>
        <v>518060.48722969193</v>
      </c>
    </row>
    <row r="454" spans="1:10" x14ac:dyDescent="0.2">
      <c r="A454" s="221">
        <f>IF(Values_Entered,A453+1,"")</f>
        <v>437</v>
      </c>
      <c r="B454" s="220">
        <f t="shared" si="48"/>
        <v>56816</v>
      </c>
      <c r="C454" s="218">
        <f t="shared" si="54"/>
        <v>0</v>
      </c>
      <c r="D454" s="218">
        <f t="shared" si="49"/>
        <v>6221.0853634570531</v>
      </c>
      <c r="E454" s="219">
        <f t="shared" si="50"/>
        <v>0</v>
      </c>
      <c r="F454" s="218">
        <f t="shared" si="51"/>
        <v>0</v>
      </c>
      <c r="G454" s="218">
        <f t="shared" si="52"/>
        <v>0</v>
      </c>
      <c r="H454" s="218">
        <f t="shared" si="55"/>
        <v>0</v>
      </c>
      <c r="I454" s="218">
        <f t="shared" si="53"/>
        <v>0</v>
      </c>
      <c r="J454" s="218">
        <f>SUM($H$18:$H454)</f>
        <v>518060.48722969193</v>
      </c>
    </row>
    <row r="455" spans="1:10" x14ac:dyDescent="0.2">
      <c r="A455" s="221">
        <f>IF(Values_Entered,A454+1,"")</f>
        <v>438</v>
      </c>
      <c r="B455" s="220">
        <f t="shared" si="48"/>
        <v>56847</v>
      </c>
      <c r="C455" s="218">
        <f t="shared" si="54"/>
        <v>0</v>
      </c>
      <c r="D455" s="218">
        <f t="shared" si="49"/>
        <v>6221.0853634570531</v>
      </c>
      <c r="E455" s="219">
        <f t="shared" si="50"/>
        <v>0</v>
      </c>
      <c r="F455" s="218">
        <f t="shared" si="51"/>
        <v>0</v>
      </c>
      <c r="G455" s="218">
        <f t="shared" si="52"/>
        <v>0</v>
      </c>
      <c r="H455" s="218">
        <f t="shared" si="55"/>
        <v>0</v>
      </c>
      <c r="I455" s="218">
        <f t="shared" si="53"/>
        <v>0</v>
      </c>
      <c r="J455" s="218">
        <f>SUM($H$18:$H455)</f>
        <v>518060.48722969193</v>
      </c>
    </row>
    <row r="456" spans="1:10" x14ac:dyDescent="0.2">
      <c r="A456" s="221">
        <f>IF(Values_Entered,A455+1,"")</f>
        <v>439</v>
      </c>
      <c r="B456" s="220">
        <f t="shared" si="48"/>
        <v>56878</v>
      </c>
      <c r="C456" s="218">
        <f t="shared" si="54"/>
        <v>0</v>
      </c>
      <c r="D456" s="218">
        <f t="shared" si="49"/>
        <v>6221.0853634570531</v>
      </c>
      <c r="E456" s="219">
        <f t="shared" si="50"/>
        <v>0</v>
      </c>
      <c r="F456" s="218">
        <f t="shared" si="51"/>
        <v>0</v>
      </c>
      <c r="G456" s="218">
        <f t="shared" si="52"/>
        <v>0</v>
      </c>
      <c r="H456" s="218">
        <f t="shared" si="55"/>
        <v>0</v>
      </c>
      <c r="I456" s="218">
        <f t="shared" si="53"/>
        <v>0</v>
      </c>
      <c r="J456" s="218">
        <f>SUM($H$18:$H456)</f>
        <v>518060.48722969193</v>
      </c>
    </row>
    <row r="457" spans="1:10" x14ac:dyDescent="0.2">
      <c r="A457" s="221">
        <f>IF(Values_Entered,A456+1,"")</f>
        <v>440</v>
      </c>
      <c r="B457" s="220">
        <f t="shared" si="48"/>
        <v>56908</v>
      </c>
      <c r="C457" s="218">
        <f t="shared" si="54"/>
        <v>0</v>
      </c>
      <c r="D457" s="218">
        <f t="shared" si="49"/>
        <v>6221.0853634570531</v>
      </c>
      <c r="E457" s="219">
        <f t="shared" si="50"/>
        <v>0</v>
      </c>
      <c r="F457" s="218">
        <f t="shared" si="51"/>
        <v>0</v>
      </c>
      <c r="G457" s="218">
        <f t="shared" si="52"/>
        <v>0</v>
      </c>
      <c r="H457" s="218">
        <f t="shared" si="55"/>
        <v>0</v>
      </c>
      <c r="I457" s="218">
        <f t="shared" si="53"/>
        <v>0</v>
      </c>
      <c r="J457" s="218">
        <f>SUM($H$18:$H457)</f>
        <v>518060.48722969193</v>
      </c>
    </row>
    <row r="458" spans="1:10" x14ac:dyDescent="0.2">
      <c r="A458" s="221">
        <f>IF(Values_Entered,A457+1,"")</f>
        <v>441</v>
      </c>
      <c r="B458" s="220">
        <f t="shared" si="48"/>
        <v>56939</v>
      </c>
      <c r="C458" s="218">
        <f t="shared" si="54"/>
        <v>0</v>
      </c>
      <c r="D458" s="218">
        <f t="shared" si="49"/>
        <v>6221.0853634570531</v>
      </c>
      <c r="E458" s="219">
        <f t="shared" si="50"/>
        <v>0</v>
      </c>
      <c r="F458" s="218">
        <f t="shared" si="51"/>
        <v>0</v>
      </c>
      <c r="G458" s="218">
        <f t="shared" si="52"/>
        <v>0</v>
      </c>
      <c r="H458" s="218">
        <f t="shared" si="55"/>
        <v>0</v>
      </c>
      <c r="I458" s="218">
        <f t="shared" si="53"/>
        <v>0</v>
      </c>
      <c r="J458" s="218">
        <f>SUM($H$18:$H458)</f>
        <v>518060.48722969193</v>
      </c>
    </row>
    <row r="459" spans="1:10" x14ac:dyDescent="0.2">
      <c r="A459" s="221">
        <f>IF(Values_Entered,A458+1,"")</f>
        <v>442</v>
      </c>
      <c r="B459" s="220">
        <f t="shared" si="48"/>
        <v>56969</v>
      </c>
      <c r="C459" s="218">
        <f t="shared" si="54"/>
        <v>0</v>
      </c>
      <c r="D459" s="218">
        <f t="shared" si="49"/>
        <v>6221.0853634570531</v>
      </c>
      <c r="E459" s="219">
        <f t="shared" si="50"/>
        <v>0</v>
      </c>
      <c r="F459" s="218">
        <f t="shared" si="51"/>
        <v>0</v>
      </c>
      <c r="G459" s="218">
        <f t="shared" si="52"/>
        <v>0</v>
      </c>
      <c r="H459" s="218">
        <f t="shared" si="55"/>
        <v>0</v>
      </c>
      <c r="I459" s="218">
        <f t="shared" si="53"/>
        <v>0</v>
      </c>
      <c r="J459" s="218">
        <f>SUM($H$18:$H459)</f>
        <v>518060.48722969193</v>
      </c>
    </row>
    <row r="460" spans="1:10" x14ac:dyDescent="0.2">
      <c r="A460" s="221">
        <f>IF(Values_Entered,A459+1,"")</f>
        <v>443</v>
      </c>
      <c r="B460" s="220">
        <f t="shared" si="48"/>
        <v>57000</v>
      </c>
      <c r="C460" s="218">
        <f t="shared" si="54"/>
        <v>0</v>
      </c>
      <c r="D460" s="218">
        <f t="shared" si="49"/>
        <v>6221.0853634570531</v>
      </c>
      <c r="E460" s="219">
        <f t="shared" si="50"/>
        <v>0</v>
      </c>
      <c r="F460" s="218">
        <f t="shared" si="51"/>
        <v>0</v>
      </c>
      <c r="G460" s="218">
        <f t="shared" si="52"/>
        <v>0</v>
      </c>
      <c r="H460" s="218">
        <f t="shared" si="55"/>
        <v>0</v>
      </c>
      <c r="I460" s="218">
        <f t="shared" si="53"/>
        <v>0</v>
      </c>
      <c r="J460" s="218">
        <f>SUM($H$18:$H460)</f>
        <v>518060.48722969193</v>
      </c>
    </row>
    <row r="461" spans="1:10" x14ac:dyDescent="0.2">
      <c r="A461" s="221">
        <f>IF(Values_Entered,A460+1,"")</f>
        <v>444</v>
      </c>
      <c r="B461" s="220">
        <f t="shared" si="48"/>
        <v>57031</v>
      </c>
      <c r="C461" s="218">
        <f t="shared" si="54"/>
        <v>0</v>
      </c>
      <c r="D461" s="218">
        <f t="shared" si="49"/>
        <v>6221.0853634570531</v>
      </c>
      <c r="E461" s="219">
        <f t="shared" si="50"/>
        <v>0</v>
      </c>
      <c r="F461" s="218">
        <f t="shared" si="51"/>
        <v>0</v>
      </c>
      <c r="G461" s="218">
        <f t="shared" si="52"/>
        <v>0</v>
      </c>
      <c r="H461" s="218">
        <f t="shared" si="55"/>
        <v>0</v>
      </c>
      <c r="I461" s="218">
        <f t="shared" si="53"/>
        <v>0</v>
      </c>
      <c r="J461" s="218">
        <f>SUM($H$18:$H461)</f>
        <v>518060.48722969193</v>
      </c>
    </row>
    <row r="462" spans="1:10" x14ac:dyDescent="0.2">
      <c r="A462" s="221">
        <f>IF(Values_Entered,A461+1,"")</f>
        <v>445</v>
      </c>
      <c r="B462" s="220">
        <f t="shared" si="48"/>
        <v>57060</v>
      </c>
      <c r="C462" s="218">
        <f t="shared" si="54"/>
        <v>0</v>
      </c>
      <c r="D462" s="218">
        <f t="shared" si="49"/>
        <v>6221.0853634570531</v>
      </c>
      <c r="E462" s="219">
        <f t="shared" si="50"/>
        <v>0</v>
      </c>
      <c r="F462" s="218">
        <f t="shared" si="51"/>
        <v>0</v>
      </c>
      <c r="G462" s="218">
        <f t="shared" si="52"/>
        <v>0</v>
      </c>
      <c r="H462" s="218">
        <f t="shared" si="55"/>
        <v>0</v>
      </c>
      <c r="I462" s="218">
        <f t="shared" si="53"/>
        <v>0</v>
      </c>
      <c r="J462" s="218">
        <f>SUM($H$18:$H462)</f>
        <v>518060.48722969193</v>
      </c>
    </row>
    <row r="463" spans="1:10" x14ac:dyDescent="0.2">
      <c r="A463" s="221">
        <f>IF(Values_Entered,A462+1,"")</f>
        <v>446</v>
      </c>
      <c r="B463" s="220">
        <f t="shared" si="48"/>
        <v>57091</v>
      </c>
      <c r="C463" s="218">
        <f t="shared" si="54"/>
        <v>0</v>
      </c>
      <c r="D463" s="218">
        <f t="shared" si="49"/>
        <v>6221.0853634570531</v>
      </c>
      <c r="E463" s="219">
        <f t="shared" si="50"/>
        <v>0</v>
      </c>
      <c r="F463" s="218">
        <f t="shared" si="51"/>
        <v>0</v>
      </c>
      <c r="G463" s="218">
        <f t="shared" si="52"/>
        <v>0</v>
      </c>
      <c r="H463" s="218">
        <f t="shared" si="55"/>
        <v>0</v>
      </c>
      <c r="I463" s="218">
        <f t="shared" si="53"/>
        <v>0</v>
      </c>
      <c r="J463" s="218">
        <f>SUM($H$18:$H463)</f>
        <v>518060.48722969193</v>
      </c>
    </row>
    <row r="464" spans="1:10" x14ac:dyDescent="0.2">
      <c r="A464" s="221">
        <f>IF(Values_Entered,A463+1,"")</f>
        <v>447</v>
      </c>
      <c r="B464" s="220">
        <f t="shared" si="48"/>
        <v>57121</v>
      </c>
      <c r="C464" s="218">
        <f t="shared" si="54"/>
        <v>0</v>
      </c>
      <c r="D464" s="218">
        <f t="shared" si="49"/>
        <v>6221.0853634570531</v>
      </c>
      <c r="E464" s="219">
        <f t="shared" si="50"/>
        <v>0</v>
      </c>
      <c r="F464" s="218">
        <f t="shared" si="51"/>
        <v>0</v>
      </c>
      <c r="G464" s="218">
        <f t="shared" si="52"/>
        <v>0</v>
      </c>
      <c r="H464" s="218">
        <f t="shared" si="55"/>
        <v>0</v>
      </c>
      <c r="I464" s="218">
        <f t="shared" si="53"/>
        <v>0</v>
      </c>
      <c r="J464" s="218">
        <f>SUM($H$18:$H464)</f>
        <v>518060.48722969193</v>
      </c>
    </row>
    <row r="465" spans="1:10" x14ac:dyDescent="0.2">
      <c r="A465" s="221">
        <f>IF(Values_Entered,A464+1,"")</f>
        <v>448</v>
      </c>
      <c r="B465" s="220">
        <f t="shared" si="48"/>
        <v>57152</v>
      </c>
      <c r="C465" s="218">
        <f t="shared" si="54"/>
        <v>0</v>
      </c>
      <c r="D465" s="218">
        <f t="shared" si="49"/>
        <v>6221.0853634570531</v>
      </c>
      <c r="E465" s="219">
        <f t="shared" si="50"/>
        <v>0</v>
      </c>
      <c r="F465" s="218">
        <f t="shared" si="51"/>
        <v>0</v>
      </c>
      <c r="G465" s="218">
        <f t="shared" si="52"/>
        <v>0</v>
      </c>
      <c r="H465" s="218">
        <f t="shared" si="55"/>
        <v>0</v>
      </c>
      <c r="I465" s="218">
        <f t="shared" si="53"/>
        <v>0</v>
      </c>
      <c r="J465" s="218">
        <f>SUM($H$18:$H465)</f>
        <v>518060.48722969193</v>
      </c>
    </row>
    <row r="466" spans="1:10" x14ac:dyDescent="0.2">
      <c r="A466" s="221">
        <f>IF(Values_Entered,A465+1,"")</f>
        <v>449</v>
      </c>
      <c r="B466" s="220">
        <f t="shared" ref="B466:B497" si="56">IF(Pay_Num&lt;&gt;"",DATE(YEAR(Loan_Start),MONTH(Loan_Start)+(Pay_Num)*12/Num_Pmt_Per_Year,DAY(Loan_Start)),"")</f>
        <v>57182</v>
      </c>
      <c r="C466" s="218">
        <f t="shared" si="54"/>
        <v>0</v>
      </c>
      <c r="D466" s="218">
        <f t="shared" ref="D466:D497" si="57">IF(Pay_Num&lt;&gt;"",Scheduled_Monthly_Payment,"")</f>
        <v>6221.0853634570531</v>
      </c>
      <c r="E466" s="219">
        <f t="shared" ref="E466:E497" si="58">IF(AND(Pay_Num&lt;&gt;"",Sched_Pay+Scheduled_Extra_Payments&lt;Beg_Bal),Scheduled_Extra_Payments,IF(AND(Pay_Num&lt;&gt;"",Beg_Bal-Sched_Pay&gt;0),Beg_Bal-Sched_Pay,IF(Pay_Num&lt;&gt;"",0,"")))</f>
        <v>0</v>
      </c>
      <c r="F466" s="218">
        <f t="shared" ref="F466:F497" si="59">IF(AND(Pay_Num&lt;&gt;"",Sched_Pay+Extra_Pay&lt;Beg_Bal),Sched_Pay+Extra_Pay,IF(Pay_Num&lt;&gt;"",Beg_Bal,""))</f>
        <v>0</v>
      </c>
      <c r="G466" s="218">
        <f t="shared" ref="G466:G497" si="60">IF(Pay_Num&lt;&gt;"",Total_Pay-Int,"")</f>
        <v>0</v>
      </c>
      <c r="H466" s="218">
        <f t="shared" si="55"/>
        <v>0</v>
      </c>
      <c r="I466" s="218">
        <f t="shared" ref="I466:I497" si="61">IF(AND(Pay_Num&lt;&gt;"",Sched_Pay+Extra_Pay&lt;Beg_Bal),Beg_Bal-Princ,IF(Pay_Num&lt;&gt;"",0,""))</f>
        <v>0</v>
      </c>
      <c r="J466" s="218">
        <f>SUM($H$18:$H466)</f>
        <v>518060.48722969193</v>
      </c>
    </row>
    <row r="467" spans="1:10" x14ac:dyDescent="0.2">
      <c r="A467" s="221">
        <f>IF(Values_Entered,A466+1,"")</f>
        <v>450</v>
      </c>
      <c r="B467" s="220">
        <f t="shared" si="56"/>
        <v>57213</v>
      </c>
      <c r="C467" s="218">
        <f t="shared" ref="C467:C497" si="62">IF(Pay_Num&lt;&gt;"",I466,"")</f>
        <v>0</v>
      </c>
      <c r="D467" s="218">
        <f t="shared" si="57"/>
        <v>6221.0853634570531</v>
      </c>
      <c r="E467" s="219">
        <f t="shared" si="58"/>
        <v>0</v>
      </c>
      <c r="F467" s="218">
        <f t="shared" si="59"/>
        <v>0</v>
      </c>
      <c r="G467" s="218">
        <f t="shared" si="60"/>
        <v>0</v>
      </c>
      <c r="H467" s="218">
        <f t="shared" ref="H467:H497" si="63">IF(Pay_Num&lt;&gt;"",Beg_Bal*Interest_Rate/Num_Pmt_Per_Year,"")</f>
        <v>0</v>
      </c>
      <c r="I467" s="218">
        <f t="shared" si="61"/>
        <v>0</v>
      </c>
      <c r="J467" s="218">
        <f>SUM($H$18:$H467)</f>
        <v>518060.48722969193</v>
      </c>
    </row>
    <row r="468" spans="1:10" x14ac:dyDescent="0.2">
      <c r="A468" s="221">
        <f>IF(Values_Entered,A467+1,"")</f>
        <v>451</v>
      </c>
      <c r="B468" s="220">
        <f t="shared" si="56"/>
        <v>57244</v>
      </c>
      <c r="C468" s="218">
        <f t="shared" si="62"/>
        <v>0</v>
      </c>
      <c r="D468" s="218">
        <f t="shared" si="57"/>
        <v>6221.0853634570531</v>
      </c>
      <c r="E468" s="219">
        <f t="shared" si="58"/>
        <v>0</v>
      </c>
      <c r="F468" s="218">
        <f t="shared" si="59"/>
        <v>0</v>
      </c>
      <c r="G468" s="218">
        <f t="shared" si="60"/>
        <v>0</v>
      </c>
      <c r="H468" s="218">
        <f t="shared" si="63"/>
        <v>0</v>
      </c>
      <c r="I468" s="218">
        <f t="shared" si="61"/>
        <v>0</v>
      </c>
      <c r="J468" s="218">
        <f>SUM($H$18:$H468)</f>
        <v>518060.48722969193</v>
      </c>
    </row>
    <row r="469" spans="1:10" x14ac:dyDescent="0.2">
      <c r="A469" s="221">
        <f>IF(Values_Entered,A468+1,"")</f>
        <v>452</v>
      </c>
      <c r="B469" s="220">
        <f t="shared" si="56"/>
        <v>57274</v>
      </c>
      <c r="C469" s="218">
        <f t="shared" si="62"/>
        <v>0</v>
      </c>
      <c r="D469" s="218">
        <f t="shared" si="57"/>
        <v>6221.0853634570531</v>
      </c>
      <c r="E469" s="219">
        <f t="shared" si="58"/>
        <v>0</v>
      </c>
      <c r="F469" s="218">
        <f t="shared" si="59"/>
        <v>0</v>
      </c>
      <c r="G469" s="218">
        <f t="shared" si="60"/>
        <v>0</v>
      </c>
      <c r="H469" s="218">
        <f t="shared" si="63"/>
        <v>0</v>
      </c>
      <c r="I469" s="218">
        <f t="shared" si="61"/>
        <v>0</v>
      </c>
      <c r="J469" s="218">
        <f>SUM($H$18:$H469)</f>
        <v>518060.48722969193</v>
      </c>
    </row>
    <row r="470" spans="1:10" x14ac:dyDescent="0.2">
      <c r="A470" s="221">
        <f>IF(Values_Entered,A469+1,"")</f>
        <v>453</v>
      </c>
      <c r="B470" s="220">
        <f t="shared" si="56"/>
        <v>57305</v>
      </c>
      <c r="C470" s="218">
        <f t="shared" si="62"/>
        <v>0</v>
      </c>
      <c r="D470" s="218">
        <f t="shared" si="57"/>
        <v>6221.0853634570531</v>
      </c>
      <c r="E470" s="219">
        <f t="shared" si="58"/>
        <v>0</v>
      </c>
      <c r="F470" s="218">
        <f t="shared" si="59"/>
        <v>0</v>
      </c>
      <c r="G470" s="218">
        <f t="shared" si="60"/>
        <v>0</v>
      </c>
      <c r="H470" s="218">
        <f t="shared" si="63"/>
        <v>0</v>
      </c>
      <c r="I470" s="218">
        <f t="shared" si="61"/>
        <v>0</v>
      </c>
      <c r="J470" s="218">
        <f>SUM($H$18:$H470)</f>
        <v>518060.48722969193</v>
      </c>
    </row>
    <row r="471" spans="1:10" x14ac:dyDescent="0.2">
      <c r="A471" s="221">
        <f>IF(Values_Entered,A470+1,"")</f>
        <v>454</v>
      </c>
      <c r="B471" s="220">
        <f t="shared" si="56"/>
        <v>57335</v>
      </c>
      <c r="C471" s="218">
        <f t="shared" si="62"/>
        <v>0</v>
      </c>
      <c r="D471" s="218">
        <f t="shared" si="57"/>
        <v>6221.0853634570531</v>
      </c>
      <c r="E471" s="219">
        <f t="shared" si="58"/>
        <v>0</v>
      </c>
      <c r="F471" s="218">
        <f t="shared" si="59"/>
        <v>0</v>
      </c>
      <c r="G471" s="218">
        <f t="shared" si="60"/>
        <v>0</v>
      </c>
      <c r="H471" s="218">
        <f t="shared" si="63"/>
        <v>0</v>
      </c>
      <c r="I471" s="218">
        <f t="shared" si="61"/>
        <v>0</v>
      </c>
      <c r="J471" s="218">
        <f>SUM($H$18:$H471)</f>
        <v>518060.48722969193</v>
      </c>
    </row>
    <row r="472" spans="1:10" x14ac:dyDescent="0.2">
      <c r="A472" s="221">
        <f>IF(Values_Entered,A471+1,"")</f>
        <v>455</v>
      </c>
      <c r="B472" s="220">
        <f t="shared" si="56"/>
        <v>57366</v>
      </c>
      <c r="C472" s="218">
        <f t="shared" si="62"/>
        <v>0</v>
      </c>
      <c r="D472" s="218">
        <f t="shared" si="57"/>
        <v>6221.0853634570531</v>
      </c>
      <c r="E472" s="219">
        <f t="shared" si="58"/>
        <v>0</v>
      </c>
      <c r="F472" s="218">
        <f t="shared" si="59"/>
        <v>0</v>
      </c>
      <c r="G472" s="218">
        <f t="shared" si="60"/>
        <v>0</v>
      </c>
      <c r="H472" s="218">
        <f t="shared" si="63"/>
        <v>0</v>
      </c>
      <c r="I472" s="218">
        <f t="shared" si="61"/>
        <v>0</v>
      </c>
      <c r="J472" s="218">
        <f>SUM($H$18:$H472)</f>
        <v>518060.48722969193</v>
      </c>
    </row>
    <row r="473" spans="1:10" x14ac:dyDescent="0.2">
      <c r="A473" s="221">
        <f>IF(Values_Entered,A472+1,"")</f>
        <v>456</v>
      </c>
      <c r="B473" s="220">
        <f t="shared" si="56"/>
        <v>57397</v>
      </c>
      <c r="C473" s="218">
        <f t="shared" si="62"/>
        <v>0</v>
      </c>
      <c r="D473" s="218">
        <f t="shared" si="57"/>
        <v>6221.0853634570531</v>
      </c>
      <c r="E473" s="219">
        <f t="shared" si="58"/>
        <v>0</v>
      </c>
      <c r="F473" s="218">
        <f t="shared" si="59"/>
        <v>0</v>
      </c>
      <c r="G473" s="218">
        <f t="shared" si="60"/>
        <v>0</v>
      </c>
      <c r="H473" s="218">
        <f t="shared" si="63"/>
        <v>0</v>
      </c>
      <c r="I473" s="218">
        <f t="shared" si="61"/>
        <v>0</v>
      </c>
      <c r="J473" s="218">
        <f>SUM($H$18:$H473)</f>
        <v>518060.48722969193</v>
      </c>
    </row>
    <row r="474" spans="1:10" x14ac:dyDescent="0.2">
      <c r="A474" s="221">
        <f>IF(Values_Entered,A473+1,"")</f>
        <v>457</v>
      </c>
      <c r="B474" s="220">
        <f t="shared" si="56"/>
        <v>57425</v>
      </c>
      <c r="C474" s="218">
        <f t="shared" si="62"/>
        <v>0</v>
      </c>
      <c r="D474" s="218">
        <f t="shared" si="57"/>
        <v>6221.0853634570531</v>
      </c>
      <c r="E474" s="219">
        <f t="shared" si="58"/>
        <v>0</v>
      </c>
      <c r="F474" s="218">
        <f t="shared" si="59"/>
        <v>0</v>
      </c>
      <c r="G474" s="218">
        <f t="shared" si="60"/>
        <v>0</v>
      </c>
      <c r="H474" s="218">
        <f t="shared" si="63"/>
        <v>0</v>
      </c>
      <c r="I474" s="218">
        <f t="shared" si="61"/>
        <v>0</v>
      </c>
      <c r="J474" s="218">
        <f>SUM($H$18:$H474)</f>
        <v>518060.48722969193</v>
      </c>
    </row>
    <row r="475" spans="1:10" x14ac:dyDescent="0.2">
      <c r="A475" s="221">
        <f>IF(Values_Entered,A474+1,"")</f>
        <v>458</v>
      </c>
      <c r="B475" s="220">
        <f t="shared" si="56"/>
        <v>57456</v>
      </c>
      <c r="C475" s="218">
        <f t="shared" si="62"/>
        <v>0</v>
      </c>
      <c r="D475" s="218">
        <f t="shared" si="57"/>
        <v>6221.0853634570531</v>
      </c>
      <c r="E475" s="219">
        <f t="shared" si="58"/>
        <v>0</v>
      </c>
      <c r="F475" s="218">
        <f t="shared" si="59"/>
        <v>0</v>
      </c>
      <c r="G475" s="218">
        <f t="shared" si="60"/>
        <v>0</v>
      </c>
      <c r="H475" s="218">
        <f t="shared" si="63"/>
        <v>0</v>
      </c>
      <c r="I475" s="218">
        <f t="shared" si="61"/>
        <v>0</v>
      </c>
      <c r="J475" s="218">
        <f>SUM($H$18:$H475)</f>
        <v>518060.48722969193</v>
      </c>
    </row>
    <row r="476" spans="1:10" x14ac:dyDescent="0.2">
      <c r="A476" s="221">
        <f>IF(Values_Entered,A475+1,"")</f>
        <v>459</v>
      </c>
      <c r="B476" s="220">
        <f t="shared" si="56"/>
        <v>57486</v>
      </c>
      <c r="C476" s="218">
        <f t="shared" si="62"/>
        <v>0</v>
      </c>
      <c r="D476" s="218">
        <f t="shared" si="57"/>
        <v>6221.0853634570531</v>
      </c>
      <c r="E476" s="219">
        <f t="shared" si="58"/>
        <v>0</v>
      </c>
      <c r="F476" s="218">
        <f t="shared" si="59"/>
        <v>0</v>
      </c>
      <c r="G476" s="218">
        <f t="shared" si="60"/>
        <v>0</v>
      </c>
      <c r="H476" s="218">
        <f t="shared" si="63"/>
        <v>0</v>
      </c>
      <c r="I476" s="218">
        <f t="shared" si="61"/>
        <v>0</v>
      </c>
      <c r="J476" s="218">
        <f>SUM($H$18:$H476)</f>
        <v>518060.48722969193</v>
      </c>
    </row>
    <row r="477" spans="1:10" x14ac:dyDescent="0.2">
      <c r="A477" s="221">
        <f>IF(Values_Entered,A476+1,"")</f>
        <v>460</v>
      </c>
      <c r="B477" s="220">
        <f t="shared" si="56"/>
        <v>57517</v>
      </c>
      <c r="C477" s="218">
        <f t="shared" si="62"/>
        <v>0</v>
      </c>
      <c r="D477" s="218">
        <f t="shared" si="57"/>
        <v>6221.0853634570531</v>
      </c>
      <c r="E477" s="219">
        <f t="shared" si="58"/>
        <v>0</v>
      </c>
      <c r="F477" s="218">
        <f t="shared" si="59"/>
        <v>0</v>
      </c>
      <c r="G477" s="218">
        <f t="shared" si="60"/>
        <v>0</v>
      </c>
      <c r="H477" s="218">
        <f t="shared" si="63"/>
        <v>0</v>
      </c>
      <c r="I477" s="218">
        <f t="shared" si="61"/>
        <v>0</v>
      </c>
      <c r="J477" s="218">
        <f>SUM($H$18:$H477)</f>
        <v>518060.48722969193</v>
      </c>
    </row>
    <row r="478" spans="1:10" x14ac:dyDescent="0.2">
      <c r="A478" s="221">
        <f>IF(Values_Entered,A477+1,"")</f>
        <v>461</v>
      </c>
      <c r="B478" s="220">
        <f t="shared" si="56"/>
        <v>57547</v>
      </c>
      <c r="C478" s="218">
        <f t="shared" si="62"/>
        <v>0</v>
      </c>
      <c r="D478" s="218">
        <f t="shared" si="57"/>
        <v>6221.0853634570531</v>
      </c>
      <c r="E478" s="219">
        <f t="shared" si="58"/>
        <v>0</v>
      </c>
      <c r="F478" s="218">
        <f t="shared" si="59"/>
        <v>0</v>
      </c>
      <c r="G478" s="218">
        <f t="shared" si="60"/>
        <v>0</v>
      </c>
      <c r="H478" s="218">
        <f t="shared" si="63"/>
        <v>0</v>
      </c>
      <c r="I478" s="218">
        <f t="shared" si="61"/>
        <v>0</v>
      </c>
      <c r="J478" s="218">
        <f>SUM($H$18:$H478)</f>
        <v>518060.48722969193</v>
      </c>
    </row>
    <row r="479" spans="1:10" x14ac:dyDescent="0.2">
      <c r="A479" s="221">
        <f>IF(Values_Entered,A478+1,"")</f>
        <v>462</v>
      </c>
      <c r="B479" s="220">
        <f t="shared" si="56"/>
        <v>57578</v>
      </c>
      <c r="C479" s="218">
        <f t="shared" si="62"/>
        <v>0</v>
      </c>
      <c r="D479" s="218">
        <f t="shared" si="57"/>
        <v>6221.0853634570531</v>
      </c>
      <c r="E479" s="219">
        <f t="shared" si="58"/>
        <v>0</v>
      </c>
      <c r="F479" s="218">
        <f t="shared" si="59"/>
        <v>0</v>
      </c>
      <c r="G479" s="218">
        <f t="shared" si="60"/>
        <v>0</v>
      </c>
      <c r="H479" s="218">
        <f t="shared" si="63"/>
        <v>0</v>
      </c>
      <c r="I479" s="218">
        <f t="shared" si="61"/>
        <v>0</v>
      </c>
      <c r="J479" s="218">
        <f>SUM($H$18:$H479)</f>
        <v>518060.48722969193</v>
      </c>
    </row>
    <row r="480" spans="1:10" x14ac:dyDescent="0.2">
      <c r="A480" s="221">
        <f>IF(Values_Entered,A479+1,"")</f>
        <v>463</v>
      </c>
      <c r="B480" s="220">
        <f t="shared" si="56"/>
        <v>57609</v>
      </c>
      <c r="C480" s="218">
        <f t="shared" si="62"/>
        <v>0</v>
      </c>
      <c r="D480" s="218">
        <f t="shared" si="57"/>
        <v>6221.0853634570531</v>
      </c>
      <c r="E480" s="219">
        <f t="shared" si="58"/>
        <v>0</v>
      </c>
      <c r="F480" s="218">
        <f t="shared" si="59"/>
        <v>0</v>
      </c>
      <c r="G480" s="218">
        <f t="shared" si="60"/>
        <v>0</v>
      </c>
      <c r="H480" s="218">
        <f t="shared" si="63"/>
        <v>0</v>
      </c>
      <c r="I480" s="218">
        <f t="shared" si="61"/>
        <v>0</v>
      </c>
      <c r="J480" s="218">
        <f>SUM($H$18:$H480)</f>
        <v>518060.48722969193</v>
      </c>
    </row>
    <row r="481" spans="1:10" x14ac:dyDescent="0.2">
      <c r="A481" s="221">
        <f>IF(Values_Entered,A480+1,"")</f>
        <v>464</v>
      </c>
      <c r="B481" s="220">
        <f t="shared" si="56"/>
        <v>57639</v>
      </c>
      <c r="C481" s="218">
        <f t="shared" si="62"/>
        <v>0</v>
      </c>
      <c r="D481" s="218">
        <f t="shared" si="57"/>
        <v>6221.0853634570531</v>
      </c>
      <c r="E481" s="219">
        <f t="shared" si="58"/>
        <v>0</v>
      </c>
      <c r="F481" s="218">
        <f t="shared" si="59"/>
        <v>0</v>
      </c>
      <c r="G481" s="218">
        <f t="shared" si="60"/>
        <v>0</v>
      </c>
      <c r="H481" s="218">
        <f t="shared" si="63"/>
        <v>0</v>
      </c>
      <c r="I481" s="218">
        <f t="shared" si="61"/>
        <v>0</v>
      </c>
      <c r="J481" s="218">
        <f>SUM($H$18:$H481)</f>
        <v>518060.48722969193</v>
      </c>
    </row>
    <row r="482" spans="1:10" x14ac:dyDescent="0.2">
      <c r="A482" s="221">
        <f>IF(Values_Entered,A481+1,"")</f>
        <v>465</v>
      </c>
      <c r="B482" s="220">
        <f t="shared" si="56"/>
        <v>57670</v>
      </c>
      <c r="C482" s="218">
        <f t="shared" si="62"/>
        <v>0</v>
      </c>
      <c r="D482" s="218">
        <f t="shared" si="57"/>
        <v>6221.0853634570531</v>
      </c>
      <c r="E482" s="219">
        <f t="shared" si="58"/>
        <v>0</v>
      </c>
      <c r="F482" s="218">
        <f t="shared" si="59"/>
        <v>0</v>
      </c>
      <c r="G482" s="218">
        <f t="shared" si="60"/>
        <v>0</v>
      </c>
      <c r="H482" s="218">
        <f t="shared" si="63"/>
        <v>0</v>
      </c>
      <c r="I482" s="218">
        <f t="shared" si="61"/>
        <v>0</v>
      </c>
      <c r="J482" s="218">
        <f>SUM($H$18:$H482)</f>
        <v>518060.48722969193</v>
      </c>
    </row>
    <row r="483" spans="1:10" x14ac:dyDescent="0.2">
      <c r="A483" s="221">
        <f>IF(Values_Entered,A482+1,"")</f>
        <v>466</v>
      </c>
      <c r="B483" s="220">
        <f t="shared" si="56"/>
        <v>57700</v>
      </c>
      <c r="C483" s="218">
        <f t="shared" si="62"/>
        <v>0</v>
      </c>
      <c r="D483" s="218">
        <f t="shared" si="57"/>
        <v>6221.0853634570531</v>
      </c>
      <c r="E483" s="219">
        <f t="shared" si="58"/>
        <v>0</v>
      </c>
      <c r="F483" s="218">
        <f t="shared" si="59"/>
        <v>0</v>
      </c>
      <c r="G483" s="218">
        <f t="shared" si="60"/>
        <v>0</v>
      </c>
      <c r="H483" s="218">
        <f t="shared" si="63"/>
        <v>0</v>
      </c>
      <c r="I483" s="218">
        <f t="shared" si="61"/>
        <v>0</v>
      </c>
      <c r="J483" s="218">
        <f>SUM($H$18:$H483)</f>
        <v>518060.48722969193</v>
      </c>
    </row>
    <row r="484" spans="1:10" x14ac:dyDescent="0.2">
      <c r="A484" s="221">
        <f>IF(Values_Entered,A483+1,"")</f>
        <v>467</v>
      </c>
      <c r="B484" s="220">
        <f t="shared" si="56"/>
        <v>57731</v>
      </c>
      <c r="C484" s="218">
        <f t="shared" si="62"/>
        <v>0</v>
      </c>
      <c r="D484" s="218">
        <f t="shared" si="57"/>
        <v>6221.0853634570531</v>
      </c>
      <c r="E484" s="219">
        <f t="shared" si="58"/>
        <v>0</v>
      </c>
      <c r="F484" s="218">
        <f t="shared" si="59"/>
        <v>0</v>
      </c>
      <c r="G484" s="218">
        <f t="shared" si="60"/>
        <v>0</v>
      </c>
      <c r="H484" s="218">
        <f t="shared" si="63"/>
        <v>0</v>
      </c>
      <c r="I484" s="218">
        <f t="shared" si="61"/>
        <v>0</v>
      </c>
      <c r="J484" s="218">
        <f>SUM($H$18:$H484)</f>
        <v>518060.48722969193</v>
      </c>
    </row>
    <row r="485" spans="1:10" x14ac:dyDescent="0.2">
      <c r="A485" s="221">
        <f>IF(Values_Entered,A484+1,"")</f>
        <v>468</v>
      </c>
      <c r="B485" s="220">
        <f t="shared" si="56"/>
        <v>57762</v>
      </c>
      <c r="C485" s="218">
        <f t="shared" si="62"/>
        <v>0</v>
      </c>
      <c r="D485" s="218">
        <f t="shared" si="57"/>
        <v>6221.0853634570531</v>
      </c>
      <c r="E485" s="219">
        <f t="shared" si="58"/>
        <v>0</v>
      </c>
      <c r="F485" s="218">
        <f t="shared" si="59"/>
        <v>0</v>
      </c>
      <c r="G485" s="218">
        <f t="shared" si="60"/>
        <v>0</v>
      </c>
      <c r="H485" s="218">
        <f t="shared" si="63"/>
        <v>0</v>
      </c>
      <c r="I485" s="218">
        <f t="shared" si="61"/>
        <v>0</v>
      </c>
      <c r="J485" s="218">
        <f>SUM($H$18:$H485)</f>
        <v>518060.48722969193</v>
      </c>
    </row>
    <row r="486" spans="1:10" x14ac:dyDescent="0.2">
      <c r="A486" s="221">
        <f>IF(Values_Entered,A485+1,"")</f>
        <v>469</v>
      </c>
      <c r="B486" s="220">
        <f t="shared" si="56"/>
        <v>57790</v>
      </c>
      <c r="C486" s="218">
        <f t="shared" si="62"/>
        <v>0</v>
      </c>
      <c r="D486" s="218">
        <f t="shared" si="57"/>
        <v>6221.0853634570531</v>
      </c>
      <c r="E486" s="219">
        <f t="shared" si="58"/>
        <v>0</v>
      </c>
      <c r="F486" s="218">
        <f t="shared" si="59"/>
        <v>0</v>
      </c>
      <c r="G486" s="218">
        <f t="shared" si="60"/>
        <v>0</v>
      </c>
      <c r="H486" s="218">
        <f t="shared" si="63"/>
        <v>0</v>
      </c>
      <c r="I486" s="218">
        <f t="shared" si="61"/>
        <v>0</v>
      </c>
      <c r="J486" s="218">
        <f>SUM($H$18:$H486)</f>
        <v>518060.48722969193</v>
      </c>
    </row>
    <row r="487" spans="1:10" x14ac:dyDescent="0.2">
      <c r="A487" s="221">
        <f>IF(Values_Entered,A486+1,"")</f>
        <v>470</v>
      </c>
      <c r="B487" s="220">
        <f t="shared" si="56"/>
        <v>57821</v>
      </c>
      <c r="C487" s="218">
        <f t="shared" si="62"/>
        <v>0</v>
      </c>
      <c r="D487" s="218">
        <f t="shared" si="57"/>
        <v>6221.0853634570531</v>
      </c>
      <c r="E487" s="219">
        <f t="shared" si="58"/>
        <v>0</v>
      </c>
      <c r="F487" s="218">
        <f t="shared" si="59"/>
        <v>0</v>
      </c>
      <c r="G487" s="218">
        <f t="shared" si="60"/>
        <v>0</v>
      </c>
      <c r="H487" s="218">
        <f t="shared" si="63"/>
        <v>0</v>
      </c>
      <c r="I487" s="218">
        <f t="shared" si="61"/>
        <v>0</v>
      </c>
      <c r="J487" s="218">
        <f>SUM($H$18:$H487)</f>
        <v>518060.48722969193</v>
      </c>
    </row>
    <row r="488" spans="1:10" x14ac:dyDescent="0.2">
      <c r="A488" s="221">
        <f>IF(Values_Entered,A487+1,"")</f>
        <v>471</v>
      </c>
      <c r="B488" s="220">
        <f t="shared" si="56"/>
        <v>57851</v>
      </c>
      <c r="C488" s="218">
        <f t="shared" si="62"/>
        <v>0</v>
      </c>
      <c r="D488" s="218">
        <f t="shared" si="57"/>
        <v>6221.0853634570531</v>
      </c>
      <c r="E488" s="219">
        <f t="shared" si="58"/>
        <v>0</v>
      </c>
      <c r="F488" s="218">
        <f t="shared" si="59"/>
        <v>0</v>
      </c>
      <c r="G488" s="218">
        <f t="shared" si="60"/>
        <v>0</v>
      </c>
      <c r="H488" s="218">
        <f t="shared" si="63"/>
        <v>0</v>
      </c>
      <c r="I488" s="218">
        <f t="shared" si="61"/>
        <v>0</v>
      </c>
      <c r="J488" s="218">
        <f>SUM($H$18:$H488)</f>
        <v>518060.48722969193</v>
      </c>
    </row>
    <row r="489" spans="1:10" x14ac:dyDescent="0.2">
      <c r="A489" s="221">
        <f>IF(Values_Entered,A488+1,"")</f>
        <v>472</v>
      </c>
      <c r="B489" s="220">
        <f t="shared" si="56"/>
        <v>57882</v>
      </c>
      <c r="C489" s="218">
        <f t="shared" si="62"/>
        <v>0</v>
      </c>
      <c r="D489" s="218">
        <f t="shared" si="57"/>
        <v>6221.0853634570531</v>
      </c>
      <c r="E489" s="219">
        <f t="shared" si="58"/>
        <v>0</v>
      </c>
      <c r="F489" s="218">
        <f t="shared" si="59"/>
        <v>0</v>
      </c>
      <c r="G489" s="218">
        <f t="shared" si="60"/>
        <v>0</v>
      </c>
      <c r="H489" s="218">
        <f t="shared" si="63"/>
        <v>0</v>
      </c>
      <c r="I489" s="218">
        <f t="shared" si="61"/>
        <v>0</v>
      </c>
      <c r="J489" s="218">
        <f>SUM($H$18:$H489)</f>
        <v>518060.48722969193</v>
      </c>
    </row>
    <row r="490" spans="1:10" x14ac:dyDescent="0.2">
      <c r="A490" s="221">
        <f>IF(Values_Entered,A489+1,"")</f>
        <v>473</v>
      </c>
      <c r="B490" s="220">
        <f t="shared" si="56"/>
        <v>57912</v>
      </c>
      <c r="C490" s="218">
        <f t="shared" si="62"/>
        <v>0</v>
      </c>
      <c r="D490" s="218">
        <f t="shared" si="57"/>
        <v>6221.0853634570531</v>
      </c>
      <c r="E490" s="219">
        <f t="shared" si="58"/>
        <v>0</v>
      </c>
      <c r="F490" s="218">
        <f t="shared" si="59"/>
        <v>0</v>
      </c>
      <c r="G490" s="218">
        <f t="shared" si="60"/>
        <v>0</v>
      </c>
      <c r="H490" s="218">
        <f t="shared" si="63"/>
        <v>0</v>
      </c>
      <c r="I490" s="218">
        <f t="shared" si="61"/>
        <v>0</v>
      </c>
      <c r="J490" s="218">
        <f>SUM($H$18:$H490)</f>
        <v>518060.48722969193</v>
      </c>
    </row>
    <row r="491" spans="1:10" x14ac:dyDescent="0.2">
      <c r="A491" s="221">
        <f>IF(Values_Entered,A490+1,"")</f>
        <v>474</v>
      </c>
      <c r="B491" s="220">
        <f t="shared" si="56"/>
        <v>57943</v>
      </c>
      <c r="C491" s="218">
        <f t="shared" si="62"/>
        <v>0</v>
      </c>
      <c r="D491" s="218">
        <f t="shared" si="57"/>
        <v>6221.0853634570531</v>
      </c>
      <c r="E491" s="219">
        <f t="shared" si="58"/>
        <v>0</v>
      </c>
      <c r="F491" s="218">
        <f t="shared" si="59"/>
        <v>0</v>
      </c>
      <c r="G491" s="218">
        <f t="shared" si="60"/>
        <v>0</v>
      </c>
      <c r="H491" s="218">
        <f t="shared" si="63"/>
        <v>0</v>
      </c>
      <c r="I491" s="218">
        <f t="shared" si="61"/>
        <v>0</v>
      </c>
      <c r="J491" s="218">
        <f>SUM($H$18:$H491)</f>
        <v>518060.48722969193</v>
      </c>
    </row>
    <row r="492" spans="1:10" x14ac:dyDescent="0.2">
      <c r="A492" s="221">
        <f>IF(Values_Entered,A491+1,"")</f>
        <v>475</v>
      </c>
      <c r="B492" s="220">
        <f t="shared" si="56"/>
        <v>57974</v>
      </c>
      <c r="C492" s="218">
        <f t="shared" si="62"/>
        <v>0</v>
      </c>
      <c r="D492" s="218">
        <f t="shared" si="57"/>
        <v>6221.0853634570531</v>
      </c>
      <c r="E492" s="219">
        <f t="shared" si="58"/>
        <v>0</v>
      </c>
      <c r="F492" s="218">
        <f t="shared" si="59"/>
        <v>0</v>
      </c>
      <c r="G492" s="218">
        <f t="shared" si="60"/>
        <v>0</v>
      </c>
      <c r="H492" s="218">
        <f t="shared" si="63"/>
        <v>0</v>
      </c>
      <c r="I492" s="218">
        <f t="shared" si="61"/>
        <v>0</v>
      </c>
      <c r="J492" s="218">
        <f>SUM($H$18:$H492)</f>
        <v>518060.48722969193</v>
      </c>
    </row>
    <row r="493" spans="1:10" x14ac:dyDescent="0.2">
      <c r="A493" s="221">
        <f>IF(Values_Entered,A492+1,"")</f>
        <v>476</v>
      </c>
      <c r="B493" s="220">
        <f t="shared" si="56"/>
        <v>58004</v>
      </c>
      <c r="C493" s="218">
        <f t="shared" si="62"/>
        <v>0</v>
      </c>
      <c r="D493" s="218">
        <f t="shared" si="57"/>
        <v>6221.0853634570531</v>
      </c>
      <c r="E493" s="219">
        <f t="shared" si="58"/>
        <v>0</v>
      </c>
      <c r="F493" s="218">
        <f t="shared" si="59"/>
        <v>0</v>
      </c>
      <c r="G493" s="218">
        <f t="shared" si="60"/>
        <v>0</v>
      </c>
      <c r="H493" s="218">
        <f t="shared" si="63"/>
        <v>0</v>
      </c>
      <c r="I493" s="218">
        <f t="shared" si="61"/>
        <v>0</v>
      </c>
      <c r="J493" s="218">
        <f>SUM($H$18:$H493)</f>
        <v>518060.48722969193</v>
      </c>
    </row>
    <row r="494" spans="1:10" x14ac:dyDescent="0.2">
      <c r="A494" s="221">
        <f>IF(Values_Entered,A493+1,"")</f>
        <v>477</v>
      </c>
      <c r="B494" s="220">
        <f t="shared" si="56"/>
        <v>58035</v>
      </c>
      <c r="C494" s="218">
        <f t="shared" si="62"/>
        <v>0</v>
      </c>
      <c r="D494" s="218">
        <f t="shared" si="57"/>
        <v>6221.0853634570531</v>
      </c>
      <c r="E494" s="219">
        <f t="shared" si="58"/>
        <v>0</v>
      </c>
      <c r="F494" s="218">
        <f t="shared" si="59"/>
        <v>0</v>
      </c>
      <c r="G494" s="218">
        <f t="shared" si="60"/>
        <v>0</v>
      </c>
      <c r="H494" s="218">
        <f t="shared" si="63"/>
        <v>0</v>
      </c>
      <c r="I494" s="218">
        <f t="shared" si="61"/>
        <v>0</v>
      </c>
      <c r="J494" s="218">
        <f>SUM($H$18:$H494)</f>
        <v>518060.48722969193</v>
      </c>
    </row>
    <row r="495" spans="1:10" x14ac:dyDescent="0.2">
      <c r="A495" s="221">
        <f>IF(Values_Entered,A494+1,"")</f>
        <v>478</v>
      </c>
      <c r="B495" s="220">
        <f t="shared" si="56"/>
        <v>58065</v>
      </c>
      <c r="C495" s="218">
        <f t="shared" si="62"/>
        <v>0</v>
      </c>
      <c r="D495" s="218">
        <f t="shared" si="57"/>
        <v>6221.0853634570531</v>
      </c>
      <c r="E495" s="219">
        <f t="shared" si="58"/>
        <v>0</v>
      </c>
      <c r="F495" s="218">
        <f t="shared" si="59"/>
        <v>0</v>
      </c>
      <c r="G495" s="218">
        <f t="shared" si="60"/>
        <v>0</v>
      </c>
      <c r="H495" s="218">
        <f t="shared" si="63"/>
        <v>0</v>
      </c>
      <c r="I495" s="218">
        <f t="shared" si="61"/>
        <v>0</v>
      </c>
      <c r="J495" s="218">
        <f>SUM($H$18:$H495)</f>
        <v>518060.48722969193</v>
      </c>
    </row>
    <row r="496" spans="1:10" x14ac:dyDescent="0.2">
      <c r="A496" s="221">
        <f>IF(Values_Entered,A495+1,"")</f>
        <v>479</v>
      </c>
      <c r="B496" s="220">
        <f t="shared" si="56"/>
        <v>58096</v>
      </c>
      <c r="C496" s="218">
        <f t="shared" si="62"/>
        <v>0</v>
      </c>
      <c r="D496" s="218">
        <f t="shared" si="57"/>
        <v>6221.0853634570531</v>
      </c>
      <c r="E496" s="219">
        <f t="shared" si="58"/>
        <v>0</v>
      </c>
      <c r="F496" s="218">
        <f t="shared" si="59"/>
        <v>0</v>
      </c>
      <c r="G496" s="218">
        <f t="shared" si="60"/>
        <v>0</v>
      </c>
      <c r="H496" s="218">
        <f t="shared" si="63"/>
        <v>0</v>
      </c>
      <c r="I496" s="218">
        <f t="shared" si="61"/>
        <v>0</v>
      </c>
      <c r="J496" s="218">
        <f>SUM($H$18:$H496)</f>
        <v>518060.48722969193</v>
      </c>
    </row>
    <row r="497" spans="1:10" x14ac:dyDescent="0.2">
      <c r="A497" s="221">
        <f>IF(Values_Entered,A496+1,"")</f>
        <v>480</v>
      </c>
      <c r="B497" s="220">
        <f t="shared" si="56"/>
        <v>58127</v>
      </c>
      <c r="C497" s="218">
        <f t="shared" si="62"/>
        <v>0</v>
      </c>
      <c r="D497" s="218">
        <f t="shared" si="57"/>
        <v>6221.0853634570531</v>
      </c>
      <c r="E497" s="219">
        <f t="shared" si="58"/>
        <v>0</v>
      </c>
      <c r="F497" s="218">
        <f t="shared" si="59"/>
        <v>0</v>
      </c>
      <c r="G497" s="218">
        <f t="shared" si="60"/>
        <v>0</v>
      </c>
      <c r="H497" s="218">
        <f t="shared" si="63"/>
        <v>0</v>
      </c>
      <c r="I497" s="218">
        <f t="shared" si="61"/>
        <v>0</v>
      </c>
      <c r="J497" s="218">
        <f>SUM($H$18:$H497)</f>
        <v>518060.48722969193</v>
      </c>
    </row>
  </sheetData>
  <sheetProtection selectLockedCells="1"/>
  <mergeCells count="3">
    <mergeCell ref="C12:D12"/>
    <mergeCell ref="B4:D4"/>
    <mergeCell ref="H4:J4"/>
  </mergeCells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type="whole" allowBlank="1" showInputMessage="1" showErrorMessage="1" errorTitle="Years" error="Please enter a whole number of years from 1 to 40." sqref="D7">
      <formula1>1</formula1>
      <formula2>40</formula2>
    </dataValidation>
  </dataValidations>
  <pageMargins left="0.5" right="0.5" top="0.5" bottom="0.5" header="0.5" footer="0.5"/>
  <pageSetup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P79"/>
  <sheetViews>
    <sheetView zoomScale="130" zoomScaleNormal="130" workbookViewId="0">
      <selection activeCell="A51" sqref="A51"/>
    </sheetView>
  </sheetViews>
  <sheetFormatPr defaultRowHeight="10.5" x14ac:dyDescent="0.15"/>
  <cols>
    <col min="1" max="1" width="57.5" bestFit="1" customWidth="1"/>
    <col min="3" max="3" width="10.1640625" bestFit="1" customWidth="1"/>
    <col min="4" max="4" width="2.83203125" customWidth="1"/>
    <col min="5" max="5" width="13" bestFit="1" customWidth="1"/>
    <col min="6" max="6" width="2.83203125" style="20" customWidth="1"/>
    <col min="7" max="7" width="11.1640625" bestFit="1" customWidth="1"/>
    <col min="8" max="8" width="2.83203125" style="20" customWidth="1"/>
    <col min="9" max="9" width="17" bestFit="1" customWidth="1"/>
    <col min="10" max="10" width="2.83203125" style="20" customWidth="1"/>
    <col min="12" max="12" width="2.83203125" style="20" customWidth="1"/>
    <col min="14" max="14" width="2.83203125" style="20" customWidth="1"/>
  </cols>
  <sheetData>
    <row r="4" spans="1:15" ht="15" x14ac:dyDescent="0.2">
      <c r="C4" s="185" t="s">
        <v>113</v>
      </c>
      <c r="D4" s="186"/>
      <c r="E4" s="185" t="s">
        <v>209</v>
      </c>
      <c r="F4" s="186"/>
      <c r="G4" s="201" t="s">
        <v>147</v>
      </c>
      <c r="H4" s="186"/>
      <c r="I4" s="206" t="s">
        <v>148</v>
      </c>
      <c r="J4" s="186"/>
      <c r="K4" s="190"/>
      <c r="L4" s="186"/>
      <c r="M4" s="190"/>
      <c r="N4" s="186"/>
      <c r="O4" s="145"/>
    </row>
    <row r="5" spans="1:15" x14ac:dyDescent="0.15">
      <c r="C5" s="197" t="s">
        <v>116</v>
      </c>
      <c r="D5" s="186"/>
      <c r="E5" s="197" t="s">
        <v>117</v>
      </c>
      <c r="F5" s="186"/>
      <c r="G5" s="198" t="s">
        <v>133</v>
      </c>
      <c r="H5" s="186"/>
      <c r="I5" s="199" t="s">
        <v>132</v>
      </c>
      <c r="J5" s="186"/>
      <c r="K5" s="198" t="s">
        <v>153</v>
      </c>
      <c r="L5" s="186"/>
      <c r="M5" s="198" t="s">
        <v>194</v>
      </c>
      <c r="N5" s="186"/>
      <c r="O5" s="200" t="s">
        <v>219</v>
      </c>
    </row>
    <row r="6" spans="1:15" x14ac:dyDescent="0.15">
      <c r="A6" s="205" t="s">
        <v>220</v>
      </c>
      <c r="C6" s="161"/>
      <c r="D6" s="106"/>
      <c r="E6" s="161"/>
      <c r="F6" s="106"/>
      <c r="G6" s="161"/>
      <c r="H6" s="106"/>
      <c r="I6" s="161"/>
      <c r="J6" s="106"/>
      <c r="K6" s="161"/>
      <c r="L6" s="106"/>
      <c r="M6" s="161"/>
      <c r="N6" s="106"/>
      <c r="O6" s="161"/>
    </row>
    <row r="7" spans="1:15" s="8" customFormat="1" x14ac:dyDescent="0.15">
      <c r="A7" s="8" t="s">
        <v>157</v>
      </c>
      <c r="C7" s="161">
        <v>1000</v>
      </c>
      <c r="D7" s="106"/>
      <c r="E7" s="161">
        <v>1000</v>
      </c>
      <c r="F7" s="106"/>
      <c r="G7" s="161">
        <v>1000</v>
      </c>
      <c r="H7" s="106"/>
      <c r="I7" s="161">
        <v>1000</v>
      </c>
      <c r="J7" s="106"/>
      <c r="K7" s="161">
        <v>1000</v>
      </c>
      <c r="L7" s="106"/>
      <c r="M7" s="161">
        <v>1000</v>
      </c>
      <c r="N7" s="106"/>
      <c r="O7" s="161">
        <v>1000</v>
      </c>
    </row>
    <row r="8" spans="1:15" s="8" customFormat="1" x14ac:dyDescent="0.15">
      <c r="A8" s="8" t="s">
        <v>158</v>
      </c>
      <c r="C8" s="161">
        <v>250</v>
      </c>
      <c r="D8" s="106"/>
      <c r="E8" s="161">
        <v>250</v>
      </c>
      <c r="F8" s="106"/>
      <c r="G8" s="161">
        <v>250</v>
      </c>
      <c r="H8" s="106"/>
      <c r="I8" s="161">
        <v>250</v>
      </c>
      <c r="J8" s="106"/>
      <c r="K8" s="161">
        <v>250</v>
      </c>
      <c r="L8" s="106"/>
      <c r="M8" s="161">
        <v>250</v>
      </c>
      <c r="N8" s="106"/>
      <c r="O8" s="161">
        <v>250</v>
      </c>
    </row>
    <row r="9" spans="1:15" s="8" customFormat="1" x14ac:dyDescent="0.15">
      <c r="A9" s="8" t="s">
        <v>159</v>
      </c>
      <c r="C9" s="161">
        <v>500</v>
      </c>
      <c r="D9" s="106"/>
      <c r="E9" s="161">
        <v>0</v>
      </c>
      <c r="F9" s="106"/>
      <c r="G9" s="161">
        <v>0</v>
      </c>
      <c r="H9" s="106"/>
      <c r="I9" s="161">
        <v>0</v>
      </c>
      <c r="J9" s="106"/>
      <c r="K9" s="161">
        <v>0</v>
      </c>
      <c r="L9" s="106"/>
      <c r="M9" s="161">
        <v>0</v>
      </c>
      <c r="N9" s="106"/>
      <c r="O9" s="161">
        <v>0</v>
      </c>
    </row>
    <row r="10" spans="1:15" s="8" customFormat="1" x14ac:dyDescent="0.15">
      <c r="A10" s="8" t="s">
        <v>160</v>
      </c>
      <c r="C10" s="161">
        <v>450</v>
      </c>
      <c r="D10" s="106"/>
      <c r="E10" s="161">
        <v>500</v>
      </c>
      <c r="F10" s="106"/>
      <c r="G10" s="161">
        <v>500</v>
      </c>
      <c r="H10" s="106"/>
      <c r="I10" s="161">
        <v>500</v>
      </c>
      <c r="J10" s="106"/>
      <c r="K10" s="161">
        <v>550</v>
      </c>
      <c r="L10" s="106"/>
      <c r="M10" s="161">
        <v>550</v>
      </c>
      <c r="N10" s="106"/>
      <c r="O10" s="161">
        <v>550</v>
      </c>
    </row>
    <row r="11" spans="1:15" s="8" customFormat="1" x14ac:dyDescent="0.15">
      <c r="A11" s="8" t="s">
        <v>161</v>
      </c>
      <c r="C11" s="161">
        <v>2000</v>
      </c>
      <c r="D11" s="106"/>
      <c r="E11" s="161">
        <v>2100</v>
      </c>
      <c r="F11" s="106"/>
      <c r="G11" s="161">
        <v>2100</v>
      </c>
      <c r="H11" s="106"/>
      <c r="I11" s="161">
        <v>2100</v>
      </c>
      <c r="J11" s="106"/>
      <c r="K11" s="161">
        <v>2100</v>
      </c>
      <c r="L11" s="106"/>
      <c r="M11" s="161">
        <v>2100</v>
      </c>
      <c r="N11" s="106"/>
      <c r="O11" s="161">
        <v>2100</v>
      </c>
    </row>
    <row r="12" spans="1:15" s="8" customFormat="1" x14ac:dyDescent="0.15">
      <c r="A12" s="8" t="s">
        <v>162</v>
      </c>
      <c r="C12" s="161">
        <v>100</v>
      </c>
      <c r="D12" s="106"/>
      <c r="E12" s="161">
        <v>100</v>
      </c>
      <c r="F12" s="106"/>
      <c r="G12" s="161">
        <v>100</v>
      </c>
      <c r="H12" s="106"/>
      <c r="I12" s="161">
        <v>100</v>
      </c>
      <c r="J12" s="106"/>
      <c r="K12" s="161">
        <v>100</v>
      </c>
      <c r="L12" s="106"/>
      <c r="M12" s="161">
        <v>100</v>
      </c>
      <c r="N12" s="106"/>
      <c r="O12" s="161">
        <v>100</v>
      </c>
    </row>
    <row r="13" spans="1:15" s="8" customFormat="1" x14ac:dyDescent="0.15">
      <c r="A13" s="8" t="s">
        <v>169</v>
      </c>
      <c r="C13" s="161">
        <v>250</v>
      </c>
      <c r="D13" s="106"/>
      <c r="E13" s="161">
        <v>250</v>
      </c>
      <c r="F13" s="106"/>
      <c r="G13" s="161">
        <v>0</v>
      </c>
      <c r="H13" s="106"/>
      <c r="I13" s="161">
        <v>0</v>
      </c>
      <c r="J13" s="106"/>
      <c r="K13" s="161">
        <v>0</v>
      </c>
      <c r="L13" s="106"/>
      <c r="M13" s="161">
        <v>0</v>
      </c>
      <c r="N13" s="106"/>
      <c r="O13" s="161">
        <v>0</v>
      </c>
    </row>
    <row r="14" spans="1:15" s="8" customFormat="1" x14ac:dyDescent="0.15">
      <c r="A14" s="8" t="s">
        <v>314</v>
      </c>
      <c r="C14" s="161">
        <v>500</v>
      </c>
      <c r="D14" s="106"/>
      <c r="E14" s="161">
        <v>500</v>
      </c>
      <c r="F14" s="106"/>
      <c r="G14" s="161">
        <v>500</v>
      </c>
      <c r="H14" s="106"/>
      <c r="I14" s="161">
        <v>500</v>
      </c>
      <c r="J14" s="106"/>
      <c r="K14" s="161">
        <v>500</v>
      </c>
      <c r="L14" s="106"/>
      <c r="M14" s="161">
        <v>500</v>
      </c>
      <c r="N14" s="106"/>
      <c r="O14" s="161">
        <v>500</v>
      </c>
    </row>
    <row r="15" spans="1:15" s="8" customFormat="1" x14ac:dyDescent="0.15">
      <c r="A15" s="8" t="s">
        <v>315</v>
      </c>
      <c r="C15" s="161">
        <v>250</v>
      </c>
      <c r="D15" s="106"/>
      <c r="E15" s="161">
        <v>250</v>
      </c>
      <c r="F15" s="106"/>
      <c r="G15" s="161">
        <v>250</v>
      </c>
      <c r="H15" s="106"/>
      <c r="I15" s="161">
        <v>250</v>
      </c>
      <c r="J15" s="106"/>
      <c r="K15" s="161">
        <v>250</v>
      </c>
      <c r="L15" s="106"/>
      <c r="M15" s="161">
        <v>250</v>
      </c>
      <c r="N15" s="106"/>
      <c r="O15" s="161">
        <v>250</v>
      </c>
    </row>
    <row r="16" spans="1:15" s="8" customFormat="1" x14ac:dyDescent="0.15">
      <c r="A16" s="8" t="s">
        <v>316</v>
      </c>
      <c r="C16" s="161">
        <v>0</v>
      </c>
      <c r="D16" s="106"/>
      <c r="E16" s="161">
        <v>1500</v>
      </c>
      <c r="F16" s="106"/>
      <c r="G16" s="161">
        <v>1500</v>
      </c>
      <c r="H16" s="106"/>
      <c r="I16" s="161">
        <v>1500</v>
      </c>
      <c r="J16" s="106"/>
      <c r="K16" s="161">
        <v>1500</v>
      </c>
      <c r="L16" s="106"/>
      <c r="M16" s="161">
        <v>1500</v>
      </c>
      <c r="N16" s="106"/>
      <c r="O16" s="161">
        <v>1500</v>
      </c>
    </row>
    <row r="17" spans="1:15" s="8" customFormat="1" x14ac:dyDescent="0.15">
      <c r="A17" s="8" t="s">
        <v>317</v>
      </c>
      <c r="C17" s="161">
        <v>0</v>
      </c>
      <c r="D17" s="106"/>
      <c r="E17" s="161">
        <v>275</v>
      </c>
      <c r="F17" s="106"/>
      <c r="G17" s="161">
        <v>0</v>
      </c>
      <c r="H17" s="106"/>
      <c r="I17" s="161">
        <v>275</v>
      </c>
      <c r="J17" s="106"/>
      <c r="K17" s="161">
        <v>0</v>
      </c>
      <c r="L17" s="106"/>
      <c r="M17" s="161">
        <v>275</v>
      </c>
      <c r="N17" s="106"/>
      <c r="O17" s="161">
        <v>0</v>
      </c>
    </row>
    <row r="18" spans="1:15" s="8" customFormat="1" x14ac:dyDescent="0.15">
      <c r="A18" s="8" t="s">
        <v>319</v>
      </c>
      <c r="C18" s="161">
        <v>0</v>
      </c>
      <c r="D18" s="106"/>
      <c r="E18" s="161">
        <v>500</v>
      </c>
      <c r="F18" s="106"/>
      <c r="G18" s="161">
        <v>0</v>
      </c>
      <c r="H18" s="106"/>
      <c r="I18" s="161">
        <v>0</v>
      </c>
      <c r="J18" s="106"/>
      <c r="K18" s="161">
        <v>0</v>
      </c>
      <c r="L18" s="106"/>
      <c r="M18" s="161">
        <v>0</v>
      </c>
      <c r="N18" s="106"/>
      <c r="O18" s="161">
        <v>0</v>
      </c>
    </row>
    <row r="19" spans="1:15" s="8" customFormat="1" x14ac:dyDescent="0.15">
      <c r="A19" s="8" t="s">
        <v>318</v>
      </c>
      <c r="C19" s="161">
        <v>0</v>
      </c>
      <c r="D19" s="106"/>
      <c r="E19" s="161">
        <v>0</v>
      </c>
      <c r="F19" s="106"/>
      <c r="G19" s="161">
        <v>1000</v>
      </c>
      <c r="H19" s="106"/>
      <c r="I19" s="161">
        <v>1000</v>
      </c>
      <c r="J19" s="106"/>
      <c r="K19" s="161">
        <v>1000</v>
      </c>
      <c r="L19" s="106"/>
      <c r="M19" s="161">
        <v>1000</v>
      </c>
      <c r="N19" s="106"/>
      <c r="O19" s="161">
        <v>1000</v>
      </c>
    </row>
    <row r="20" spans="1:15" s="8" customFormat="1" x14ac:dyDescent="0.15">
      <c r="A20" s="8" t="s">
        <v>320</v>
      </c>
      <c r="C20" s="161">
        <v>0</v>
      </c>
      <c r="D20" s="106"/>
      <c r="E20" s="161">
        <v>0</v>
      </c>
      <c r="F20" s="106"/>
      <c r="G20" s="161">
        <v>500</v>
      </c>
      <c r="H20" s="106"/>
      <c r="I20" s="161">
        <v>500</v>
      </c>
      <c r="J20" s="106"/>
      <c r="K20" s="161">
        <v>500</v>
      </c>
      <c r="L20" s="106"/>
      <c r="M20" s="161">
        <v>500</v>
      </c>
      <c r="N20" s="106"/>
      <c r="O20" s="161">
        <v>500</v>
      </c>
    </row>
    <row r="21" spans="1:15" s="8" customFormat="1" x14ac:dyDescent="0.15">
      <c r="A21" s="8" t="s">
        <v>321</v>
      </c>
      <c r="C21" s="161">
        <v>0</v>
      </c>
      <c r="D21" s="106"/>
      <c r="E21" s="161">
        <v>0</v>
      </c>
      <c r="F21" s="106"/>
      <c r="G21" s="161">
        <v>3000</v>
      </c>
      <c r="H21" s="106"/>
      <c r="I21" s="161">
        <v>3000</v>
      </c>
      <c r="J21" s="106"/>
      <c r="K21" s="161">
        <v>3000</v>
      </c>
      <c r="L21" s="106"/>
      <c r="M21" s="161">
        <v>3000</v>
      </c>
      <c r="N21" s="106"/>
      <c r="O21" s="161">
        <v>3000</v>
      </c>
    </row>
    <row r="22" spans="1:15" s="8" customFormat="1" x14ac:dyDescent="0.15">
      <c r="A22" s="8" t="s">
        <v>322</v>
      </c>
      <c r="C22" s="161">
        <v>0</v>
      </c>
      <c r="D22" s="106"/>
      <c r="E22" s="161">
        <v>0</v>
      </c>
      <c r="F22" s="106"/>
      <c r="G22" s="161">
        <v>1000</v>
      </c>
      <c r="H22" s="106"/>
      <c r="I22" s="161">
        <v>1000</v>
      </c>
      <c r="J22" s="106"/>
      <c r="K22" s="161">
        <v>1000</v>
      </c>
      <c r="L22" s="106"/>
      <c r="M22" s="161">
        <v>1000</v>
      </c>
      <c r="N22" s="106"/>
      <c r="O22" s="161">
        <v>1000</v>
      </c>
    </row>
    <row r="23" spans="1:15" s="8" customFormat="1" x14ac:dyDescent="0.15">
      <c r="A23" s="8" t="s">
        <v>323</v>
      </c>
      <c r="C23" s="161">
        <v>0</v>
      </c>
      <c r="D23" s="106"/>
      <c r="E23" s="161">
        <v>0</v>
      </c>
      <c r="F23" s="106"/>
      <c r="G23" s="161">
        <v>400</v>
      </c>
      <c r="H23" s="106"/>
      <c r="I23" s="161">
        <v>400</v>
      </c>
      <c r="J23" s="106"/>
      <c r="K23" s="161">
        <v>400</v>
      </c>
      <c r="L23" s="106"/>
      <c r="M23" s="161">
        <v>400</v>
      </c>
      <c r="N23" s="106"/>
      <c r="O23" s="161">
        <v>400</v>
      </c>
    </row>
    <row r="24" spans="1:15" s="8" customFormat="1" x14ac:dyDescent="0.15">
      <c r="A24" s="8" t="s">
        <v>324</v>
      </c>
      <c r="C24" s="161">
        <v>0</v>
      </c>
      <c r="D24" s="106"/>
      <c r="E24" s="161">
        <v>0</v>
      </c>
      <c r="F24" s="106"/>
      <c r="G24" s="161">
        <v>250</v>
      </c>
      <c r="H24" s="106"/>
      <c r="I24" s="161">
        <v>250</v>
      </c>
      <c r="J24" s="106"/>
      <c r="K24" s="161">
        <v>250</v>
      </c>
      <c r="L24" s="106"/>
      <c r="M24" s="161">
        <v>250</v>
      </c>
      <c r="N24" s="106"/>
      <c r="O24" s="161">
        <v>250</v>
      </c>
    </row>
    <row r="25" spans="1:15" s="8" customFormat="1" x14ac:dyDescent="0.15">
      <c r="A25" s="8" t="s">
        <v>325</v>
      </c>
      <c r="C25" s="161">
        <v>0</v>
      </c>
      <c r="D25" s="106"/>
      <c r="E25" s="161">
        <v>0</v>
      </c>
      <c r="F25" s="106"/>
      <c r="G25" s="161">
        <v>200</v>
      </c>
      <c r="H25" s="106"/>
      <c r="I25" s="161">
        <v>200</v>
      </c>
      <c r="J25" s="106"/>
      <c r="K25" s="161">
        <v>200</v>
      </c>
      <c r="L25" s="106"/>
      <c r="M25" s="161">
        <v>200</v>
      </c>
      <c r="N25" s="106"/>
      <c r="O25" s="161">
        <v>200</v>
      </c>
    </row>
    <row r="26" spans="1:15" s="8" customFormat="1" x14ac:dyDescent="0.15">
      <c r="A26" s="8" t="s">
        <v>326</v>
      </c>
      <c r="C26" s="161">
        <v>0</v>
      </c>
      <c r="D26" s="106"/>
      <c r="E26" s="161">
        <v>0</v>
      </c>
      <c r="F26" s="106"/>
      <c r="G26" s="161">
        <v>300</v>
      </c>
      <c r="H26" s="106"/>
      <c r="I26" s="161">
        <v>300</v>
      </c>
      <c r="J26" s="106"/>
      <c r="K26" s="161">
        <v>300</v>
      </c>
      <c r="L26" s="106"/>
      <c r="M26" s="161">
        <v>300</v>
      </c>
      <c r="N26" s="106"/>
      <c r="O26" s="161">
        <v>300</v>
      </c>
    </row>
    <row r="27" spans="1:15" s="8" customFormat="1" x14ac:dyDescent="0.15">
      <c r="A27" s="8" t="s">
        <v>327</v>
      </c>
      <c r="C27" s="161">
        <v>0</v>
      </c>
      <c r="D27" s="106"/>
      <c r="E27" s="161">
        <v>0</v>
      </c>
      <c r="F27" s="106"/>
      <c r="G27" s="161">
        <v>200</v>
      </c>
      <c r="H27" s="106"/>
      <c r="I27" s="161">
        <v>200</v>
      </c>
      <c r="J27" s="106"/>
      <c r="K27" s="161">
        <v>200</v>
      </c>
      <c r="L27" s="106"/>
      <c r="M27" s="161">
        <v>200</v>
      </c>
      <c r="N27" s="106"/>
      <c r="O27" s="161">
        <v>200</v>
      </c>
    </row>
    <row r="28" spans="1:15" s="8" customFormat="1" x14ac:dyDescent="0.15">
      <c r="A28" s="8" t="s">
        <v>328</v>
      </c>
      <c r="C28" s="161">
        <v>0</v>
      </c>
      <c r="D28" s="106"/>
      <c r="E28" s="161">
        <v>0</v>
      </c>
      <c r="F28" s="106"/>
      <c r="G28" s="161">
        <v>200</v>
      </c>
      <c r="H28" s="106"/>
      <c r="I28" s="161">
        <v>200</v>
      </c>
      <c r="J28" s="106"/>
      <c r="K28" s="161">
        <v>200</v>
      </c>
      <c r="L28" s="106"/>
      <c r="M28" s="161">
        <v>200</v>
      </c>
      <c r="N28" s="106"/>
      <c r="O28" s="161">
        <v>200</v>
      </c>
    </row>
    <row r="29" spans="1:15" s="8" customFormat="1" x14ac:dyDescent="0.15">
      <c r="A29" s="8" t="s">
        <v>329</v>
      </c>
      <c r="C29" s="161">
        <v>0</v>
      </c>
      <c r="D29" s="106"/>
      <c r="E29" s="161">
        <v>250</v>
      </c>
      <c r="F29" s="106"/>
      <c r="G29" s="161">
        <v>250</v>
      </c>
      <c r="H29" s="106"/>
      <c r="I29" s="161">
        <v>250</v>
      </c>
      <c r="J29" s="106"/>
      <c r="K29" s="161">
        <v>250</v>
      </c>
      <c r="L29" s="106"/>
      <c r="M29" s="161">
        <v>250</v>
      </c>
      <c r="N29" s="106"/>
      <c r="O29" s="161">
        <v>250</v>
      </c>
    </row>
    <row r="30" spans="1:15" s="8" customFormat="1" x14ac:dyDescent="0.15">
      <c r="A30" s="8" t="s">
        <v>330</v>
      </c>
      <c r="C30" s="161"/>
      <c r="D30" s="106"/>
      <c r="E30" s="161">
        <v>200</v>
      </c>
      <c r="F30" s="106"/>
      <c r="G30" s="161">
        <v>200</v>
      </c>
      <c r="H30" s="106"/>
      <c r="I30" s="161">
        <v>200</v>
      </c>
      <c r="J30" s="106"/>
      <c r="K30" s="161">
        <v>200</v>
      </c>
      <c r="L30" s="106"/>
      <c r="M30" s="161">
        <v>200</v>
      </c>
      <c r="N30" s="106"/>
      <c r="O30" s="161">
        <v>200</v>
      </c>
    </row>
    <row r="31" spans="1:15" s="8" customFormat="1" x14ac:dyDescent="0.15">
      <c r="A31" s="8" t="s">
        <v>331</v>
      </c>
      <c r="C31" s="161">
        <v>0</v>
      </c>
      <c r="D31" s="106"/>
      <c r="E31" s="161">
        <v>1000</v>
      </c>
      <c r="F31" s="106"/>
      <c r="G31" s="161">
        <v>6000</v>
      </c>
      <c r="H31" s="106"/>
      <c r="I31" s="161">
        <v>6000</v>
      </c>
      <c r="J31" s="106"/>
      <c r="K31" s="161">
        <v>6000</v>
      </c>
      <c r="L31" s="106"/>
      <c r="M31" s="161">
        <v>6000</v>
      </c>
      <c r="N31" s="106"/>
      <c r="O31" s="161">
        <v>6000</v>
      </c>
    </row>
    <row r="32" spans="1:15" s="8" customFormat="1" x14ac:dyDescent="0.15">
      <c r="C32" s="161"/>
      <c r="D32" s="106"/>
      <c r="E32" s="161"/>
      <c r="F32" s="106"/>
      <c r="G32" s="161"/>
      <c r="H32" s="106"/>
      <c r="I32" s="161"/>
      <c r="J32" s="106"/>
      <c r="K32" s="161"/>
      <c r="L32" s="106"/>
      <c r="M32" s="161"/>
      <c r="N32" s="106"/>
      <c r="O32" s="161"/>
    </row>
    <row r="33" spans="1:16" s="8" customFormat="1" x14ac:dyDescent="0.15">
      <c r="A33" s="268" t="s">
        <v>221</v>
      </c>
      <c r="C33" s="161"/>
      <c r="D33" s="106"/>
      <c r="E33" s="161"/>
      <c r="F33" s="106"/>
      <c r="G33" s="161"/>
      <c r="H33" s="106"/>
      <c r="I33" s="161"/>
      <c r="J33" s="106"/>
      <c r="K33" s="161"/>
      <c r="L33" s="106"/>
      <c r="M33" s="161"/>
      <c r="N33" s="106"/>
      <c r="O33" s="161"/>
    </row>
    <row r="34" spans="1:16" s="8" customFormat="1" x14ac:dyDescent="0.15">
      <c r="A34" s="8" t="s">
        <v>332</v>
      </c>
      <c r="C34" s="161">
        <v>0</v>
      </c>
      <c r="D34" s="106"/>
      <c r="E34" s="161">
        <v>10000</v>
      </c>
      <c r="F34" s="106"/>
      <c r="G34" s="161">
        <v>0</v>
      </c>
      <c r="H34" s="106"/>
      <c r="I34" s="161">
        <v>0</v>
      </c>
      <c r="J34" s="106"/>
      <c r="K34" s="161">
        <v>0</v>
      </c>
      <c r="L34" s="106"/>
      <c r="M34" s="161">
        <v>0</v>
      </c>
      <c r="N34" s="106"/>
      <c r="O34" s="161">
        <v>0</v>
      </c>
    </row>
    <row r="35" spans="1:16" s="8" customFormat="1" x14ac:dyDescent="0.15">
      <c r="A35" s="8" t="s">
        <v>333</v>
      </c>
      <c r="C35" s="161">
        <v>1250</v>
      </c>
      <c r="D35" s="106"/>
      <c r="E35" s="161">
        <v>0</v>
      </c>
      <c r="F35" s="106"/>
      <c r="G35" s="161">
        <v>0</v>
      </c>
      <c r="H35" s="106"/>
      <c r="I35" s="161">
        <v>0</v>
      </c>
      <c r="J35" s="106"/>
      <c r="K35" s="161">
        <v>0</v>
      </c>
      <c r="L35" s="106"/>
      <c r="M35" s="161">
        <v>0</v>
      </c>
      <c r="N35" s="106"/>
      <c r="O35" s="161">
        <v>0</v>
      </c>
    </row>
    <row r="36" spans="1:16" s="8" customFormat="1" x14ac:dyDescent="0.15">
      <c r="A36" s="8" t="s">
        <v>334</v>
      </c>
      <c r="C36" s="161">
        <v>1250</v>
      </c>
      <c r="D36" s="106"/>
      <c r="E36" s="161">
        <v>0</v>
      </c>
      <c r="F36" s="106"/>
      <c r="G36" s="161">
        <v>0</v>
      </c>
      <c r="H36" s="106"/>
      <c r="I36" s="161">
        <v>0</v>
      </c>
      <c r="J36" s="106"/>
      <c r="K36" s="161">
        <v>0</v>
      </c>
      <c r="L36" s="106"/>
      <c r="M36" s="161">
        <v>0</v>
      </c>
      <c r="N36" s="106"/>
      <c r="O36" s="161">
        <v>0</v>
      </c>
    </row>
    <row r="37" spans="1:16" s="8" customFormat="1" x14ac:dyDescent="0.15">
      <c r="A37" s="8" t="s">
        <v>335</v>
      </c>
      <c r="C37" s="161">
        <v>300</v>
      </c>
      <c r="D37" s="106"/>
      <c r="E37" s="161">
        <v>300</v>
      </c>
      <c r="F37" s="106"/>
      <c r="G37" s="161">
        <v>300</v>
      </c>
      <c r="H37" s="106"/>
      <c r="I37" s="161">
        <v>300</v>
      </c>
      <c r="J37" s="106"/>
      <c r="K37" s="161">
        <v>300</v>
      </c>
      <c r="L37" s="106"/>
      <c r="M37" s="161">
        <v>300</v>
      </c>
      <c r="N37" s="106"/>
      <c r="O37" s="161">
        <v>300</v>
      </c>
    </row>
    <row r="38" spans="1:16" s="8" customFormat="1" x14ac:dyDescent="0.15">
      <c r="A38" s="8" t="s">
        <v>336</v>
      </c>
      <c r="C38" s="161">
        <v>124</v>
      </c>
      <c r="D38" s="106"/>
      <c r="E38" s="161">
        <v>125</v>
      </c>
      <c r="F38" s="106"/>
      <c r="G38" s="161">
        <v>0</v>
      </c>
      <c r="H38" s="106"/>
      <c r="I38" s="161">
        <v>0</v>
      </c>
      <c r="J38" s="106"/>
      <c r="K38" s="161">
        <v>0</v>
      </c>
      <c r="L38" s="106"/>
      <c r="M38" s="161">
        <v>0</v>
      </c>
      <c r="N38" s="106"/>
      <c r="O38" s="161">
        <v>0</v>
      </c>
    </row>
    <row r="39" spans="1:16" s="8" customFormat="1" x14ac:dyDescent="0.15">
      <c r="A39" s="8" t="s">
        <v>337</v>
      </c>
      <c r="C39" s="161">
        <v>300</v>
      </c>
      <c r="D39" s="106"/>
      <c r="E39" s="161">
        <v>300</v>
      </c>
      <c r="F39" s="106"/>
      <c r="G39" s="161">
        <v>300</v>
      </c>
      <c r="H39" s="106"/>
      <c r="I39" s="161">
        <v>300</v>
      </c>
      <c r="J39" s="106"/>
      <c r="K39" s="161">
        <v>300</v>
      </c>
      <c r="L39" s="106"/>
      <c r="M39" s="161">
        <v>300</v>
      </c>
      <c r="N39" s="106"/>
      <c r="O39" s="161">
        <v>300</v>
      </c>
    </row>
    <row r="40" spans="1:16" s="8" customFormat="1" x14ac:dyDescent="0.15">
      <c r="A40" s="8" t="s">
        <v>338</v>
      </c>
      <c r="C40" s="161">
        <v>285</v>
      </c>
      <c r="D40" s="106"/>
      <c r="E40" s="161">
        <v>0</v>
      </c>
      <c r="F40" s="106"/>
      <c r="G40" s="161">
        <v>250</v>
      </c>
      <c r="H40" s="106"/>
      <c r="I40" s="161">
        <v>250</v>
      </c>
      <c r="J40" s="106"/>
      <c r="K40" s="161">
        <v>250</v>
      </c>
      <c r="L40" s="106"/>
      <c r="M40" s="161">
        <v>250</v>
      </c>
      <c r="N40" s="106"/>
      <c r="O40" s="161">
        <v>250</v>
      </c>
    </row>
    <row r="41" spans="1:16" s="8" customFormat="1" x14ac:dyDescent="0.15">
      <c r="A41" s="8" t="s">
        <v>339</v>
      </c>
      <c r="C41" s="161">
        <v>0</v>
      </c>
      <c r="D41" s="106"/>
      <c r="E41" s="161">
        <v>523</v>
      </c>
      <c r="F41" s="106"/>
      <c r="G41" s="161">
        <v>500</v>
      </c>
      <c r="H41" s="106"/>
      <c r="I41" s="161">
        <v>500</v>
      </c>
      <c r="J41" s="106"/>
      <c r="K41" s="161">
        <v>500</v>
      </c>
      <c r="L41" s="106"/>
      <c r="M41" s="161">
        <v>500</v>
      </c>
      <c r="N41" s="106"/>
      <c r="O41" s="161">
        <v>500</v>
      </c>
    </row>
    <row r="42" spans="1:16" s="8" customFormat="1" x14ac:dyDescent="0.15">
      <c r="A42" s="8" t="s">
        <v>340</v>
      </c>
      <c r="C42" s="161">
        <v>0</v>
      </c>
      <c r="D42" s="106"/>
      <c r="E42" s="161">
        <v>200</v>
      </c>
      <c r="F42" s="106"/>
      <c r="G42" s="161">
        <v>200</v>
      </c>
      <c r="H42" s="106"/>
      <c r="I42" s="161">
        <v>200</v>
      </c>
      <c r="J42" s="106"/>
      <c r="K42" s="161">
        <v>200</v>
      </c>
      <c r="L42" s="106"/>
      <c r="M42" s="161">
        <v>200</v>
      </c>
      <c r="N42" s="106"/>
      <c r="O42" s="161">
        <v>200</v>
      </c>
      <c r="P42" s="161"/>
    </row>
    <row r="43" spans="1:16" s="8" customFormat="1" x14ac:dyDescent="0.15">
      <c r="C43" s="161">
        <v>0</v>
      </c>
      <c r="D43" s="106"/>
      <c r="E43" s="161">
        <v>0</v>
      </c>
      <c r="F43" s="106"/>
      <c r="G43" s="161">
        <v>0</v>
      </c>
      <c r="H43" s="106"/>
      <c r="I43" s="161">
        <v>0</v>
      </c>
      <c r="J43" s="106"/>
      <c r="K43" s="161">
        <v>0</v>
      </c>
      <c r="L43" s="106"/>
      <c r="M43" s="161">
        <v>0</v>
      </c>
      <c r="N43" s="106"/>
      <c r="O43" s="161">
        <v>0</v>
      </c>
      <c r="P43" s="161"/>
    </row>
    <row r="44" spans="1:16" s="8" customFormat="1" x14ac:dyDescent="0.15">
      <c r="C44" s="161">
        <v>0</v>
      </c>
      <c r="D44" s="106"/>
      <c r="E44" s="161">
        <v>0</v>
      </c>
      <c r="F44" s="106"/>
      <c r="G44" s="161">
        <v>0</v>
      </c>
      <c r="H44" s="106"/>
      <c r="I44" s="161">
        <v>0</v>
      </c>
      <c r="J44" s="106"/>
      <c r="K44" s="161">
        <v>0</v>
      </c>
      <c r="L44" s="106"/>
      <c r="M44" s="161">
        <v>0</v>
      </c>
      <c r="N44" s="106"/>
      <c r="O44" s="161">
        <v>0</v>
      </c>
      <c r="P44" s="161"/>
    </row>
    <row r="45" spans="1:16" s="8" customFormat="1" x14ac:dyDescent="0.15">
      <c r="C45" s="161">
        <v>0</v>
      </c>
      <c r="D45" s="106"/>
      <c r="E45" s="161">
        <v>0</v>
      </c>
      <c r="F45" s="106"/>
      <c r="G45" s="161">
        <v>0</v>
      </c>
      <c r="H45" s="106"/>
      <c r="I45" s="161">
        <v>0</v>
      </c>
      <c r="J45" s="106"/>
      <c r="K45" s="161">
        <v>0</v>
      </c>
      <c r="L45" s="106"/>
      <c r="M45" s="161">
        <v>0</v>
      </c>
      <c r="N45" s="106"/>
      <c r="O45" s="161">
        <v>0</v>
      </c>
      <c r="P45" s="161"/>
    </row>
    <row r="46" spans="1:16" s="8" customFormat="1" x14ac:dyDescent="0.15">
      <c r="C46" s="161">
        <v>0</v>
      </c>
      <c r="D46" s="106"/>
      <c r="E46" s="161">
        <v>0</v>
      </c>
      <c r="F46" s="106"/>
      <c r="G46" s="161">
        <v>0</v>
      </c>
      <c r="H46" s="106"/>
      <c r="I46" s="161">
        <v>0</v>
      </c>
      <c r="J46" s="106"/>
      <c r="K46" s="161">
        <v>0</v>
      </c>
      <c r="L46" s="106"/>
      <c r="M46" s="161">
        <v>0</v>
      </c>
      <c r="N46" s="106"/>
      <c r="O46" s="161">
        <v>0</v>
      </c>
      <c r="P46" s="161"/>
    </row>
    <row r="47" spans="1:16" s="8" customFormat="1" x14ac:dyDescent="0.15">
      <c r="C47" s="207">
        <v>0</v>
      </c>
      <c r="D47" s="106"/>
      <c r="E47" s="207">
        <v>0</v>
      </c>
      <c r="F47" s="106"/>
      <c r="G47" s="207">
        <v>0</v>
      </c>
      <c r="H47" s="106"/>
      <c r="I47" s="207">
        <v>0</v>
      </c>
      <c r="J47" s="106"/>
      <c r="K47" s="207">
        <v>0</v>
      </c>
      <c r="L47" s="106"/>
      <c r="M47" s="207">
        <v>0</v>
      </c>
      <c r="N47" s="106"/>
      <c r="O47" s="207">
        <v>0</v>
      </c>
      <c r="P47" s="161"/>
    </row>
    <row r="48" spans="1:16" s="8" customFormat="1" x14ac:dyDescent="0.15">
      <c r="A48" s="8" t="s">
        <v>178</v>
      </c>
      <c r="C48" s="161">
        <f>SUM(C6:C43)</f>
        <v>8809</v>
      </c>
      <c r="D48" s="106"/>
      <c r="E48" s="161">
        <f>SUM(E6:E43)</f>
        <v>20123</v>
      </c>
      <c r="F48" s="106"/>
      <c r="G48" s="161">
        <f>SUM(G6:G43)</f>
        <v>21250</v>
      </c>
      <c r="H48" s="106"/>
      <c r="I48" s="161">
        <f>SUM(I6:I43)</f>
        <v>21525</v>
      </c>
      <c r="J48" s="106"/>
      <c r="K48" s="161">
        <f>SUM(K6:K43)</f>
        <v>21300</v>
      </c>
      <c r="L48" s="106"/>
      <c r="M48" s="161">
        <f>SUM(M6:M43)</f>
        <v>21575</v>
      </c>
      <c r="N48" s="106"/>
      <c r="O48" s="161">
        <f>SUM(O6:O43)</f>
        <v>21300</v>
      </c>
      <c r="P48" s="161"/>
    </row>
    <row r="49" spans="3:16" x14ac:dyDescent="0.15">
      <c r="C49" s="161"/>
      <c r="D49" s="106"/>
      <c r="E49" s="161"/>
      <c r="F49" s="106"/>
      <c r="G49" s="93"/>
      <c r="H49" s="106"/>
      <c r="I49" s="93"/>
      <c r="J49" s="106"/>
      <c r="K49" s="93"/>
      <c r="L49" s="106"/>
      <c r="M49" s="93"/>
      <c r="N49" s="106"/>
      <c r="O49" s="93"/>
      <c r="P49" s="161"/>
    </row>
    <row r="50" spans="3:16" x14ac:dyDescent="0.15">
      <c r="C50" s="161"/>
      <c r="D50" s="106"/>
      <c r="E50" s="161"/>
      <c r="F50" s="106"/>
      <c r="G50" s="93"/>
      <c r="H50" s="106"/>
      <c r="I50" s="93"/>
      <c r="J50" s="106"/>
      <c r="K50" s="93"/>
      <c r="L50" s="106"/>
      <c r="M50" s="93"/>
      <c r="N50" s="106"/>
      <c r="O50" s="93"/>
      <c r="P50" s="161"/>
    </row>
    <row r="51" spans="3:16" x14ac:dyDescent="0.15">
      <c r="C51" s="161"/>
      <c r="D51" s="106"/>
      <c r="E51" s="161"/>
      <c r="F51" s="106"/>
      <c r="G51" s="93"/>
      <c r="H51" s="106"/>
      <c r="I51" s="93"/>
      <c r="J51" s="106"/>
      <c r="K51" s="93"/>
      <c r="L51" s="106"/>
      <c r="M51" s="93"/>
      <c r="N51" s="106"/>
      <c r="O51" s="93"/>
      <c r="P51" s="161"/>
    </row>
    <row r="52" spans="3:16" x14ac:dyDescent="0.15">
      <c r="C52" s="161"/>
      <c r="D52" s="106"/>
      <c r="E52" s="161"/>
      <c r="F52" s="106"/>
      <c r="G52" s="93"/>
      <c r="H52" s="106"/>
      <c r="I52" s="93"/>
      <c r="J52" s="106"/>
      <c r="K52" s="93"/>
      <c r="L52" s="106"/>
      <c r="M52" s="93"/>
      <c r="N52" s="106"/>
      <c r="O52" s="93"/>
      <c r="P52" s="161"/>
    </row>
    <row r="53" spans="3:16" x14ac:dyDescent="0.15">
      <c r="C53" s="161"/>
      <c r="D53" s="106"/>
      <c r="E53" s="161"/>
      <c r="F53" s="106"/>
      <c r="G53" s="93"/>
      <c r="H53" s="106"/>
      <c r="I53" s="93"/>
      <c r="J53" s="106"/>
      <c r="K53" s="93"/>
      <c r="L53" s="106"/>
      <c r="M53" s="93"/>
      <c r="N53" s="106"/>
      <c r="O53" s="93"/>
      <c r="P53" s="161"/>
    </row>
    <row r="54" spans="3:16" x14ac:dyDescent="0.15">
      <c r="C54" s="161"/>
      <c r="D54" s="106"/>
      <c r="E54" s="161"/>
      <c r="F54" s="106"/>
      <c r="G54" s="93"/>
      <c r="H54" s="106"/>
      <c r="I54" s="93"/>
      <c r="J54" s="106"/>
      <c r="K54" s="93"/>
      <c r="L54" s="106"/>
      <c r="M54" s="93"/>
      <c r="N54" s="106"/>
      <c r="O54" s="93"/>
      <c r="P54" s="161"/>
    </row>
    <row r="55" spans="3:16" x14ac:dyDescent="0.15">
      <c r="C55" s="161"/>
      <c r="D55" s="106"/>
      <c r="E55" s="161"/>
      <c r="F55" s="106"/>
      <c r="G55" s="93"/>
      <c r="H55" s="106"/>
      <c r="I55" s="93"/>
      <c r="J55" s="106"/>
      <c r="K55" s="93"/>
      <c r="L55" s="106"/>
      <c r="M55" s="93"/>
      <c r="N55" s="106"/>
      <c r="O55" s="93"/>
      <c r="P55" s="161"/>
    </row>
    <row r="56" spans="3:16" x14ac:dyDescent="0.15">
      <c r="C56" s="161"/>
      <c r="D56" s="106"/>
      <c r="E56" s="161"/>
      <c r="F56" s="106"/>
      <c r="G56" s="93"/>
      <c r="H56" s="106"/>
      <c r="I56" s="93"/>
      <c r="J56" s="106"/>
      <c r="K56" s="93"/>
      <c r="L56" s="106"/>
      <c r="M56" s="93"/>
      <c r="N56" s="106"/>
      <c r="O56" s="93"/>
      <c r="P56" s="161"/>
    </row>
    <row r="57" spans="3:16" x14ac:dyDescent="0.15">
      <c r="C57" s="161"/>
      <c r="D57" s="106"/>
      <c r="E57" s="161"/>
      <c r="F57" s="106"/>
      <c r="G57" s="93"/>
      <c r="H57" s="106"/>
      <c r="I57" s="93"/>
      <c r="J57" s="106"/>
      <c r="K57" s="93"/>
      <c r="L57" s="106"/>
      <c r="M57" s="93"/>
      <c r="N57" s="106"/>
      <c r="O57" s="93"/>
      <c r="P57" s="161"/>
    </row>
    <row r="58" spans="3:16" x14ac:dyDescent="0.15">
      <c r="C58" s="161"/>
      <c r="D58" s="106"/>
      <c r="E58" s="161"/>
      <c r="F58" s="106"/>
      <c r="G58" s="93"/>
      <c r="H58" s="106"/>
      <c r="I58" s="93"/>
      <c r="J58" s="106"/>
      <c r="K58" s="93"/>
      <c r="L58" s="106"/>
      <c r="M58" s="93"/>
      <c r="N58" s="106"/>
      <c r="O58" s="93"/>
    </row>
    <row r="59" spans="3:16" x14ac:dyDescent="0.15">
      <c r="C59" s="161"/>
      <c r="D59" s="106"/>
      <c r="E59" s="161"/>
      <c r="F59" s="106"/>
      <c r="G59" s="93"/>
      <c r="H59" s="106"/>
      <c r="I59" s="93"/>
      <c r="J59" s="106"/>
      <c r="K59" s="93"/>
      <c r="L59" s="106"/>
      <c r="M59" s="93"/>
      <c r="N59" s="106"/>
      <c r="O59" s="93"/>
    </row>
    <row r="60" spans="3:16" x14ac:dyDescent="0.15">
      <c r="C60" s="161"/>
      <c r="D60" s="106"/>
      <c r="E60" s="161"/>
      <c r="F60" s="106"/>
      <c r="G60" s="93"/>
      <c r="H60" s="106"/>
      <c r="I60" s="93"/>
      <c r="J60" s="106"/>
      <c r="K60" s="93"/>
      <c r="L60" s="106"/>
      <c r="M60" s="93"/>
      <c r="N60" s="106"/>
      <c r="O60" s="93"/>
    </row>
    <row r="61" spans="3:16" x14ac:dyDescent="0.15">
      <c r="C61" s="161"/>
      <c r="D61" s="106"/>
      <c r="E61" s="161"/>
      <c r="F61" s="106"/>
      <c r="G61" s="93"/>
      <c r="H61" s="106"/>
      <c r="I61" s="93"/>
      <c r="J61" s="106"/>
      <c r="K61" s="93"/>
      <c r="L61" s="106"/>
      <c r="M61" s="93"/>
      <c r="N61" s="106"/>
      <c r="O61" s="93"/>
    </row>
    <row r="62" spans="3:16" x14ac:dyDescent="0.15">
      <c r="C62" s="161"/>
      <c r="D62" s="106"/>
      <c r="E62" s="161"/>
      <c r="F62" s="106"/>
      <c r="G62" s="93"/>
      <c r="H62" s="106"/>
      <c r="I62" s="93"/>
      <c r="J62" s="106"/>
      <c r="K62" s="93"/>
      <c r="L62" s="106"/>
      <c r="M62" s="93"/>
      <c r="N62" s="106"/>
      <c r="O62" s="93"/>
    </row>
    <row r="63" spans="3:16" x14ac:dyDescent="0.15">
      <c r="C63" s="161"/>
      <c r="D63" s="106"/>
      <c r="E63" s="161"/>
      <c r="F63" s="106"/>
      <c r="G63" s="93"/>
      <c r="H63" s="106"/>
      <c r="I63" s="93"/>
      <c r="J63" s="106"/>
      <c r="K63" s="93"/>
      <c r="L63" s="106"/>
      <c r="M63" s="93"/>
      <c r="N63" s="106"/>
      <c r="O63" s="93"/>
    </row>
    <row r="64" spans="3:16" x14ac:dyDescent="0.15">
      <c r="C64" s="161"/>
      <c r="D64" s="106"/>
      <c r="E64" s="161"/>
      <c r="F64" s="106"/>
      <c r="G64" s="93"/>
      <c r="H64" s="106"/>
      <c r="I64" s="93"/>
      <c r="J64" s="106"/>
      <c r="K64" s="93"/>
      <c r="L64" s="106"/>
      <c r="M64" s="93"/>
      <c r="N64" s="106"/>
      <c r="O64" s="93"/>
    </row>
    <row r="65" spans="3:15" x14ac:dyDescent="0.15">
      <c r="C65" s="161"/>
      <c r="D65" s="106"/>
      <c r="E65" s="161"/>
      <c r="F65" s="106"/>
      <c r="G65" s="93"/>
      <c r="H65" s="106"/>
      <c r="I65" s="93"/>
      <c r="J65" s="106"/>
      <c r="K65" s="93"/>
      <c r="L65" s="106"/>
      <c r="M65" s="93"/>
      <c r="N65" s="106"/>
      <c r="O65" s="93"/>
    </row>
    <row r="66" spans="3:15" x14ac:dyDescent="0.15">
      <c r="C66" s="161"/>
      <c r="D66" s="106"/>
      <c r="E66" s="161"/>
      <c r="F66" s="106"/>
      <c r="G66" s="93"/>
      <c r="H66" s="106"/>
      <c r="I66" s="93"/>
      <c r="J66" s="106"/>
      <c r="K66" s="93"/>
      <c r="L66" s="106"/>
      <c r="M66" s="93"/>
      <c r="N66" s="106"/>
      <c r="O66" s="93"/>
    </row>
    <row r="67" spans="3:15" x14ac:dyDescent="0.15">
      <c r="C67" s="161"/>
      <c r="D67" s="106"/>
      <c r="E67" s="161"/>
      <c r="F67" s="106"/>
      <c r="G67" s="93"/>
      <c r="H67" s="106"/>
      <c r="I67" s="93"/>
      <c r="J67" s="106"/>
      <c r="K67" s="93"/>
      <c r="L67" s="106"/>
      <c r="M67" s="93"/>
      <c r="N67" s="106"/>
      <c r="O67" s="93"/>
    </row>
    <row r="68" spans="3:15" x14ac:dyDescent="0.15">
      <c r="C68" s="161"/>
      <c r="D68" s="106"/>
      <c r="E68" s="161"/>
      <c r="F68" s="106"/>
      <c r="G68" s="93"/>
      <c r="H68" s="106"/>
      <c r="I68" s="93"/>
      <c r="J68" s="106"/>
      <c r="K68" s="93"/>
      <c r="L68" s="106"/>
      <c r="M68" s="93"/>
      <c r="N68" s="106"/>
      <c r="O68" s="93"/>
    </row>
    <row r="69" spans="3:15" x14ac:dyDescent="0.15">
      <c r="C69" s="161"/>
      <c r="D69" s="106"/>
      <c r="E69" s="161"/>
      <c r="F69" s="106"/>
      <c r="G69" s="93"/>
      <c r="H69" s="106"/>
      <c r="I69" s="93"/>
      <c r="J69" s="106"/>
      <c r="K69" s="93"/>
      <c r="L69" s="106"/>
      <c r="M69" s="93"/>
      <c r="N69" s="106"/>
      <c r="O69" s="93"/>
    </row>
    <row r="70" spans="3:15" x14ac:dyDescent="0.15">
      <c r="C70" s="161"/>
      <c r="D70" s="106"/>
      <c r="E70" s="161"/>
      <c r="F70" s="106"/>
      <c r="G70" s="93"/>
      <c r="H70" s="106"/>
      <c r="I70" s="93"/>
      <c r="J70" s="106"/>
      <c r="K70" s="93"/>
      <c r="L70" s="106"/>
      <c r="M70" s="93"/>
      <c r="N70" s="106"/>
      <c r="O70" s="93"/>
    </row>
    <row r="71" spans="3:15" x14ac:dyDescent="0.15">
      <c r="C71" s="161"/>
      <c r="D71" s="106"/>
      <c r="E71" s="161"/>
      <c r="F71" s="106"/>
      <c r="G71" s="93"/>
      <c r="H71" s="106"/>
      <c r="I71" s="93"/>
      <c r="J71" s="106"/>
      <c r="K71" s="93"/>
      <c r="L71" s="106"/>
      <c r="M71" s="93"/>
      <c r="N71" s="106"/>
      <c r="O71" s="93"/>
    </row>
    <row r="72" spans="3:15" x14ac:dyDescent="0.15">
      <c r="C72" s="161"/>
      <c r="D72" s="106"/>
      <c r="E72" s="161"/>
      <c r="F72" s="106"/>
      <c r="G72" s="93"/>
      <c r="H72" s="106"/>
      <c r="I72" s="93"/>
      <c r="J72" s="106"/>
      <c r="K72" s="93"/>
      <c r="L72" s="106"/>
      <c r="M72" s="93"/>
      <c r="N72" s="106"/>
      <c r="O72" s="93"/>
    </row>
    <row r="73" spans="3:15" x14ac:dyDescent="0.15">
      <c r="C73" s="161"/>
      <c r="D73" s="106"/>
      <c r="E73" s="161"/>
      <c r="F73" s="106"/>
      <c r="G73" s="93"/>
      <c r="H73" s="106"/>
      <c r="I73" s="93"/>
      <c r="J73" s="106"/>
      <c r="K73" s="93"/>
      <c r="L73" s="106"/>
      <c r="M73" s="93"/>
      <c r="N73" s="106"/>
      <c r="O73" s="93"/>
    </row>
    <row r="74" spans="3:15" x14ac:dyDescent="0.15">
      <c r="C74" s="161"/>
      <c r="D74" s="106"/>
      <c r="E74" s="161"/>
      <c r="F74" s="106"/>
      <c r="G74" s="93"/>
      <c r="H74" s="106"/>
      <c r="I74" s="93"/>
      <c r="J74" s="106"/>
      <c r="K74" s="93"/>
      <c r="L74" s="106"/>
      <c r="M74" s="93"/>
      <c r="N74" s="106"/>
      <c r="O74" s="93"/>
    </row>
    <row r="75" spans="3:15" x14ac:dyDescent="0.15">
      <c r="C75" s="161"/>
      <c r="D75" s="106"/>
      <c r="E75" s="161"/>
      <c r="F75" s="106"/>
      <c r="G75" s="93"/>
      <c r="H75" s="106"/>
      <c r="I75" s="93"/>
      <c r="J75" s="106"/>
      <c r="K75" s="93"/>
      <c r="L75" s="106"/>
      <c r="M75" s="93"/>
      <c r="N75" s="106"/>
      <c r="O75" s="93"/>
    </row>
    <row r="76" spans="3:15" x14ac:dyDescent="0.15">
      <c r="C76" s="161"/>
      <c r="D76" s="106"/>
      <c r="E76" s="161"/>
      <c r="F76" s="106"/>
      <c r="G76" s="93"/>
      <c r="H76" s="106"/>
      <c r="I76" s="93"/>
      <c r="J76" s="106"/>
      <c r="K76" s="93"/>
      <c r="L76" s="106"/>
      <c r="M76" s="93"/>
      <c r="N76" s="106"/>
      <c r="O76" s="93"/>
    </row>
    <row r="77" spans="3:15" x14ac:dyDescent="0.15">
      <c r="C77" s="161"/>
      <c r="D77" s="106"/>
      <c r="E77" s="161"/>
      <c r="F77" s="106"/>
      <c r="G77" s="93"/>
      <c r="H77" s="106"/>
      <c r="I77" s="93"/>
      <c r="J77" s="106"/>
      <c r="K77" s="93"/>
      <c r="L77" s="106"/>
      <c r="M77" s="93"/>
      <c r="N77" s="106"/>
      <c r="O77" s="93"/>
    </row>
    <row r="78" spans="3:15" x14ac:dyDescent="0.15">
      <c r="C78" s="161"/>
      <c r="D78" s="106"/>
      <c r="E78" s="161"/>
      <c r="F78" s="106"/>
      <c r="G78" s="93"/>
      <c r="H78" s="106"/>
      <c r="I78" s="93"/>
      <c r="J78" s="106"/>
      <c r="K78" s="93"/>
      <c r="L78" s="106"/>
      <c r="M78" s="93"/>
      <c r="N78" s="106"/>
      <c r="O78" s="93"/>
    </row>
    <row r="79" spans="3:15" x14ac:dyDescent="0.15">
      <c r="C79" s="161"/>
      <c r="D79" s="106"/>
      <c r="E79" s="161"/>
      <c r="F79" s="106"/>
      <c r="G79" s="93"/>
      <c r="H79" s="106"/>
      <c r="I79" s="93"/>
      <c r="J79" s="106"/>
      <c r="K79" s="93"/>
      <c r="L79" s="106"/>
      <c r="M79" s="93"/>
      <c r="N79" s="106"/>
      <c r="O79" s="93"/>
    </row>
  </sheetData>
  <pageMargins left="0.7" right="0.7" top="0.75" bottom="0.75" header="0.3" footer="0.3"/>
  <ignoredErrors>
    <ignoredError sqref="C5:O5" numberStoredAsText="1"/>
    <ignoredError sqref="C48:O48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O67"/>
  <sheetViews>
    <sheetView zoomScaleNormal="100" workbookViewId="0">
      <selection activeCell="A47" sqref="A47"/>
    </sheetView>
  </sheetViews>
  <sheetFormatPr defaultRowHeight="10.5" x14ac:dyDescent="0.15"/>
  <cols>
    <col min="1" max="1" width="55.5" bestFit="1" customWidth="1"/>
    <col min="2" max="2" width="1.83203125" style="23" customWidth="1"/>
    <col min="3" max="3" width="11.83203125" hidden="1" customWidth="1"/>
    <col min="4" max="4" width="1.83203125" style="23" hidden="1" customWidth="1"/>
    <col min="5" max="5" width="12.5" hidden="1" customWidth="1"/>
    <col min="6" max="6" width="1.83203125" style="23" hidden="1" customWidth="1"/>
    <col min="7" max="7" width="12.5" style="20" bestFit="1" customWidth="1"/>
    <col min="8" max="8" width="1.83203125" style="23" customWidth="1"/>
    <col min="9" max="9" width="12.5" style="20" bestFit="1" customWidth="1"/>
    <col min="10" max="10" width="1.83203125" style="23" customWidth="1"/>
    <col min="11" max="11" width="12.5" style="20" bestFit="1" customWidth="1"/>
    <col min="12" max="12" width="1.83203125" style="23" customWidth="1"/>
    <col min="13" max="13" width="12.5" style="20" bestFit="1" customWidth="1"/>
    <col min="14" max="14" width="1.83203125" style="23" customWidth="1"/>
    <col min="15" max="15" width="12.5" style="20" bestFit="1" customWidth="1"/>
  </cols>
  <sheetData>
    <row r="1" spans="1:15" ht="15" x14ac:dyDescent="0.2">
      <c r="A1" s="16" t="s">
        <v>307</v>
      </c>
      <c r="B1" s="87"/>
      <c r="C1" s="36"/>
      <c r="D1" s="87"/>
      <c r="E1" s="36"/>
      <c r="F1" s="87"/>
      <c r="G1" s="36"/>
      <c r="H1" s="87"/>
      <c r="I1" s="36"/>
      <c r="J1" s="87"/>
      <c r="K1" s="36"/>
      <c r="L1" s="87"/>
      <c r="M1" s="36"/>
      <c r="N1" s="87"/>
      <c r="O1" s="36"/>
    </row>
    <row r="2" spans="1:15" ht="15" x14ac:dyDescent="0.2">
      <c r="A2" s="16" t="s">
        <v>297</v>
      </c>
      <c r="B2" s="87"/>
      <c r="C2" s="36"/>
      <c r="D2" s="87"/>
      <c r="E2" s="36"/>
      <c r="F2" s="87"/>
      <c r="G2" s="36"/>
      <c r="H2" s="87"/>
      <c r="I2" s="36"/>
      <c r="J2" s="87"/>
      <c r="K2" s="36"/>
      <c r="L2" s="87"/>
      <c r="M2" s="36"/>
      <c r="N2" s="87"/>
      <c r="O2" s="36"/>
    </row>
    <row r="3" spans="1:15" ht="15" x14ac:dyDescent="0.2">
      <c r="A3" s="16"/>
      <c r="B3" s="20"/>
      <c r="C3" s="20"/>
      <c r="D3" s="20"/>
      <c r="E3" s="20"/>
      <c r="F3" s="20"/>
      <c r="H3" s="20"/>
      <c r="J3" s="20"/>
      <c r="L3" s="20"/>
      <c r="N3" s="20"/>
    </row>
    <row r="4" spans="1:15" s="20" customFormat="1" ht="15" x14ac:dyDescent="0.2">
      <c r="A4" s="16"/>
      <c r="B4" s="90"/>
      <c r="C4" s="89"/>
      <c r="D4" s="90"/>
      <c r="E4" s="89"/>
      <c r="F4" s="90"/>
      <c r="G4" s="89"/>
      <c r="H4" s="90"/>
      <c r="I4" s="89"/>
      <c r="J4" s="90"/>
      <c r="K4" s="89"/>
      <c r="L4" s="90"/>
      <c r="M4" s="89"/>
      <c r="N4" s="90"/>
      <c r="O4" s="89"/>
    </row>
    <row r="5" spans="1:15" x14ac:dyDescent="0.15">
      <c r="A5" s="1"/>
      <c r="B5" s="70"/>
      <c r="C5" s="91"/>
      <c r="D5" s="70"/>
      <c r="E5" s="91"/>
      <c r="F5" s="70"/>
      <c r="G5" s="91"/>
      <c r="H5" s="70"/>
      <c r="I5" s="91"/>
      <c r="J5" s="70"/>
      <c r="K5" s="91"/>
      <c r="L5" s="70"/>
      <c r="M5" s="91"/>
      <c r="N5" s="70"/>
      <c r="O5" s="91"/>
    </row>
    <row r="6" spans="1:15" ht="15" x14ac:dyDescent="0.2">
      <c r="A6" s="1"/>
      <c r="B6" s="58"/>
      <c r="C6" s="89"/>
      <c r="D6" s="58"/>
      <c r="E6" s="88"/>
      <c r="F6" s="58"/>
      <c r="G6" s="88"/>
      <c r="H6" s="58"/>
      <c r="I6" s="88"/>
      <c r="J6" s="58"/>
      <c r="K6" s="88"/>
      <c r="L6" s="58"/>
      <c r="M6" s="88"/>
      <c r="N6" s="58"/>
      <c r="O6" s="88"/>
    </row>
    <row r="7" spans="1:15" ht="12.75" x14ac:dyDescent="0.2">
      <c r="A7" s="6"/>
      <c r="B7" s="58"/>
      <c r="C7" s="45" t="s">
        <v>116</v>
      </c>
      <c r="D7" s="58"/>
      <c r="E7" s="45" t="s">
        <v>117</v>
      </c>
      <c r="F7" s="58"/>
      <c r="G7" s="45" t="s">
        <v>133</v>
      </c>
      <c r="H7" s="58"/>
      <c r="I7" s="45" t="s">
        <v>132</v>
      </c>
      <c r="J7" s="58"/>
      <c r="K7" s="45" t="s">
        <v>153</v>
      </c>
      <c r="L7" s="58"/>
      <c r="M7" s="45" t="s">
        <v>194</v>
      </c>
      <c r="N7" s="58"/>
      <c r="O7" s="45" t="s">
        <v>219</v>
      </c>
    </row>
    <row r="8" spans="1:15" x14ac:dyDescent="0.15">
      <c r="A8" t="s">
        <v>120</v>
      </c>
      <c r="B8" s="58"/>
      <c r="C8" s="92">
        <f>9540357+61456</f>
        <v>9601813</v>
      </c>
      <c r="D8" s="58"/>
      <c r="E8" s="92">
        <f>+C29</f>
        <v>13031760.49</v>
      </c>
      <c r="F8" s="58"/>
      <c r="G8" s="92">
        <f>+E29</f>
        <v>11846502.569999998</v>
      </c>
      <c r="H8" s="58"/>
      <c r="I8" s="92">
        <f>+G29</f>
        <v>13134598.093560277</v>
      </c>
      <c r="J8" s="58"/>
      <c r="K8" s="92">
        <f>+I29</f>
        <v>10400347.64374939</v>
      </c>
      <c r="L8" s="58"/>
      <c r="M8" s="92">
        <f>+K29</f>
        <v>9286034.3508937471</v>
      </c>
      <c r="N8" s="58"/>
      <c r="O8" s="92">
        <f>+M29</f>
        <v>7850092.4001570866</v>
      </c>
    </row>
    <row r="9" spans="1:15" x14ac:dyDescent="0.15">
      <c r="B9" s="58"/>
      <c r="C9" s="92"/>
      <c r="D9" s="58"/>
      <c r="E9" s="92"/>
      <c r="F9" s="58"/>
      <c r="G9" s="92"/>
      <c r="H9" s="58"/>
      <c r="I9" s="92"/>
      <c r="J9" s="58"/>
      <c r="K9" s="92"/>
      <c r="L9" s="58"/>
      <c r="M9" s="92"/>
      <c r="N9" s="58"/>
      <c r="O9" s="92"/>
    </row>
    <row r="10" spans="1:15" x14ac:dyDescent="0.15">
      <c r="A10" t="s">
        <v>121</v>
      </c>
      <c r="B10" s="58"/>
      <c r="C10" s="92"/>
      <c r="D10" s="58"/>
      <c r="E10" s="92"/>
      <c r="F10" s="58"/>
      <c r="G10" s="92"/>
      <c r="H10" s="58"/>
      <c r="I10" s="92"/>
      <c r="J10" s="58"/>
      <c r="K10" s="92"/>
      <c r="L10" s="58"/>
      <c r="M10" s="92"/>
      <c r="N10" s="58"/>
      <c r="O10" s="92"/>
    </row>
    <row r="11" spans="1:15" x14ac:dyDescent="0.15">
      <c r="A11" t="s">
        <v>226</v>
      </c>
      <c r="B11" s="58"/>
      <c r="C11" s="92">
        <f>300000+1600000</f>
        <v>1900000</v>
      </c>
      <c r="D11" s="58"/>
      <c r="E11" s="95">
        <f>+'Debt Sources'!G22+'Debt Sources'!G23+1400000+200000+500000</f>
        <v>3500000</v>
      </c>
      <c r="F11" s="58"/>
      <c r="G11" s="95">
        <f>SUM('Debt Sources'!E25:E29)+2000000+975000-30241</f>
        <v>7450260</v>
      </c>
      <c r="H11" s="58"/>
      <c r="I11" s="95">
        <f>+'Debt Sources'!E31</f>
        <v>3000000</v>
      </c>
      <c r="J11" s="58"/>
      <c r="K11" s="95">
        <f>+'Debt Sources'!E32</f>
        <v>3000000</v>
      </c>
      <c r="L11" s="58"/>
      <c r="M11" s="95">
        <f>+'Debt Sources'!E33</f>
        <v>3000000</v>
      </c>
      <c r="N11" s="58"/>
      <c r="O11" s="95">
        <f>+'Debt Sources'!E34</f>
        <v>3000000</v>
      </c>
    </row>
    <row r="12" spans="1:15" x14ac:dyDescent="0.15">
      <c r="A12" t="s">
        <v>143</v>
      </c>
      <c r="B12" s="58"/>
      <c r="C12" s="95">
        <f>+'Condensed IS'!J12+'Condensed IS'!J13+'Condensed IS'!J14+'Condensed IS'!J15+'Condensed IS'!J16+3186764+1798993+456756+817944-1090</f>
        <v>7652512</v>
      </c>
      <c r="D12" s="58"/>
      <c r="E12" s="95">
        <f>4773018.91+1132881.82+225+2782.3+368011.09+'Condensed IS'!L16+'Condensed IS'!L29</f>
        <v>6704881.5300000003</v>
      </c>
      <c r="F12" s="83"/>
      <c r="G12" s="95">
        <f>500000+145000+'Condensed IS'!P12+'Condensed IS'!P13+'Condensed IS'!P14+'Condensed IS'!P15+'Condensed IS'!P16+139000+800000</f>
        <v>4443924.5999999996</v>
      </c>
      <c r="H12" s="83"/>
      <c r="I12" s="95">
        <f>500000+1500000+144000+'Condensed IS'!R12+'Condensed IS'!R13+'Condensed IS'!R14+'Condensed IS'!R15+'Condensed IS'!R16</f>
        <v>4587707</v>
      </c>
      <c r="J12" s="83"/>
      <c r="K12" s="95">
        <f>2000000+1000000+218000-21000+'Condensed IS'!T12+'Condensed IS'!T13+'Condensed IS'!T14+'Condensed IS'!T15+'Condensed IS'!T16</f>
        <v>5856034</v>
      </c>
      <c r="L12" s="83"/>
      <c r="M12" s="95">
        <f>3000000+1000000+237000-535000+'Condensed IS'!V12+'Condensed IS'!V13+'Condensed IS'!V14+'Condensed IS'!V15+'Condensed IS'!V16</f>
        <v>6596126</v>
      </c>
      <c r="N12" s="83"/>
      <c r="O12" s="95">
        <f>3000000+1000000+260000-49000+'Condensed IS'!X12+'Condensed IS'!X13+'Condensed IS'!X14+'Condensed IS'!X15+'Condensed IS'!X16</f>
        <v>7246913</v>
      </c>
    </row>
    <row r="13" spans="1:15" x14ac:dyDescent="0.15">
      <c r="A13" t="s">
        <v>142</v>
      </c>
      <c r="B13" s="58"/>
      <c r="C13" s="92">
        <f>+'Condensed IS'!J8+'Condensed IS'!J9+'Condensed IS'!J10+1150000-976500</f>
        <v>2441474</v>
      </c>
      <c r="D13" s="58"/>
      <c r="E13" s="95">
        <f>+'Condensed IS'!L8-950000+975000-39432</f>
        <v>1899143</v>
      </c>
      <c r="F13" s="58"/>
      <c r="G13" s="92">
        <f>+'Condensed IS'!P8</f>
        <v>1631203</v>
      </c>
      <c r="H13" s="58"/>
      <c r="I13" s="92">
        <f>+'Condensed IS'!R8</f>
        <v>1100000</v>
      </c>
      <c r="J13" s="58"/>
      <c r="K13" s="92">
        <f>+'Condensed IS'!T8</f>
        <v>1100000</v>
      </c>
      <c r="L13" s="58"/>
      <c r="M13" s="92">
        <f>+'Condensed IS'!V8</f>
        <v>1100000</v>
      </c>
      <c r="N13" s="58"/>
      <c r="O13" s="92">
        <f>+'Condensed IS'!X8</f>
        <v>1100000</v>
      </c>
    </row>
    <row r="14" spans="1:15" s="20" customFormat="1" x14ac:dyDescent="0.15">
      <c r="A14" s="20" t="s">
        <v>125</v>
      </c>
      <c r="B14" s="58"/>
      <c r="C14" s="152">
        <f>+'Condensed IS'!J17+'Condensed IS'!J18+'Condensed IS'!J22+'Condensed IS'!J24+'Condensed IS'!J29</f>
        <v>3628143</v>
      </c>
      <c r="D14" s="58"/>
      <c r="E14" s="152">
        <f>+'Condensed IS'!L17+'Condensed IS'!L18+'Condensed IS'!L22+'Condensed IS'!L24+'Condensed IS'!L30+636063+962000-370569+47793-114704+46803-253097.74+65-1+4-4093+987+11783</f>
        <v>1512288.5199999998</v>
      </c>
      <c r="F14" s="58"/>
      <c r="G14" s="94">
        <f>+'Condensed IS'!P17+'Condensed IS'!P18+'Condensed IS'!P22+'Condensed IS'!P24+'Condensed IS'!P30+189453-25921+13698+3465+163126-4+3106-11783</f>
        <v>528740</v>
      </c>
      <c r="H14" s="58"/>
      <c r="I14" s="94">
        <f>+'Condensed IS'!R17+'Condensed IS'!R18+'Condensed IS'!R22+'Condensed IS'!R24+'Condensed IS'!R30-3979+13698+3465+3463</f>
        <v>193722</v>
      </c>
      <c r="J14" s="58"/>
      <c r="K14" s="94">
        <f>+'Condensed IS'!T17+'Condensed IS'!T18+'Condensed IS'!T22+'Condensed IS'!T24+'Condensed IS'!T30-3978+13698+3465+3463</f>
        <v>187515</v>
      </c>
      <c r="L14" s="58"/>
      <c r="M14" s="94">
        <f>+'Condensed IS'!V17+'Condensed IS'!V18+'Condensed IS'!V22+'Condensed IS'!V24+'Condensed IS'!V30-3979+13698+3465+3463</f>
        <v>218043</v>
      </c>
      <c r="N14" s="58"/>
      <c r="O14" s="94">
        <f>+'Condensed IS'!X17+'Condensed IS'!X18+'Condensed IS'!X22+'Condensed IS'!X24+'Condensed IS'!X30-3979+13698+3465+3463</f>
        <v>253752</v>
      </c>
    </row>
    <row r="15" spans="1:15" x14ac:dyDescent="0.15">
      <c r="A15" t="s">
        <v>131</v>
      </c>
      <c r="B15" s="58"/>
      <c r="C15" s="95">
        <f>SUM(C11:C14)</f>
        <v>15622129</v>
      </c>
      <c r="D15" s="58"/>
      <c r="E15" s="95">
        <f>SUM(E11:E14)</f>
        <v>13616313.050000001</v>
      </c>
      <c r="F15" s="58"/>
      <c r="G15" s="95">
        <f>SUM(G11:G14)</f>
        <v>14054127.6</v>
      </c>
      <c r="H15" s="58"/>
      <c r="I15" s="95">
        <f>SUM(I11:I14)</f>
        <v>8881429</v>
      </c>
      <c r="J15" s="58"/>
      <c r="K15" s="95">
        <f>SUM(K11:K14)</f>
        <v>10143549</v>
      </c>
      <c r="L15" s="58"/>
      <c r="M15" s="95">
        <f>SUM(M11:M14)</f>
        <v>10914169</v>
      </c>
      <c r="N15" s="58"/>
      <c r="O15" s="95">
        <f>SUM(O11:O14)</f>
        <v>11600665</v>
      </c>
    </row>
    <row r="16" spans="1:15" x14ac:dyDescent="0.15">
      <c r="B16" s="58"/>
      <c r="C16" s="92"/>
      <c r="D16" s="58"/>
      <c r="E16" s="92"/>
      <c r="F16" s="58"/>
      <c r="G16" s="92"/>
      <c r="H16" s="58"/>
      <c r="I16" s="92"/>
      <c r="J16" s="58"/>
      <c r="K16" s="92"/>
      <c r="L16" s="58"/>
      <c r="M16" s="92"/>
      <c r="N16" s="58"/>
      <c r="O16" s="92"/>
    </row>
    <row r="17" spans="1:15" x14ac:dyDescent="0.15">
      <c r="A17" t="s">
        <v>123</v>
      </c>
      <c r="B17" s="58"/>
      <c r="C17" s="92"/>
      <c r="D17" s="58"/>
      <c r="E17" s="92"/>
      <c r="F17" s="58"/>
      <c r="G17" s="92"/>
      <c r="H17" s="58"/>
      <c r="I17" s="92"/>
      <c r="J17" s="58"/>
      <c r="K17" s="92"/>
      <c r="L17" s="58"/>
      <c r="M17" s="92"/>
      <c r="N17" s="58"/>
      <c r="O17" s="92"/>
    </row>
    <row r="18" spans="1:15" s="20" customFormat="1" x14ac:dyDescent="0.15">
      <c r="A18" s="20" t="s">
        <v>141</v>
      </c>
      <c r="B18" s="58"/>
      <c r="C18" s="92">
        <f>+C41</f>
        <v>5562246</v>
      </c>
      <c r="D18" s="58"/>
      <c r="E18" s="95">
        <f>+E41</f>
        <v>8836467</v>
      </c>
      <c r="F18" s="58"/>
      <c r="G18" s="92">
        <f>+G41</f>
        <v>7669000</v>
      </c>
      <c r="H18" s="58"/>
      <c r="I18" s="92">
        <f>+I41</f>
        <v>6640000</v>
      </c>
      <c r="J18" s="58"/>
      <c r="K18" s="92">
        <f>+K41</f>
        <v>6640000</v>
      </c>
      <c r="L18" s="58"/>
      <c r="M18" s="92">
        <f>+M41</f>
        <v>6640000</v>
      </c>
      <c r="N18" s="58"/>
      <c r="O18" s="92">
        <f>+O41</f>
        <v>6640000</v>
      </c>
    </row>
    <row r="19" spans="1:15" s="20" customFormat="1" x14ac:dyDescent="0.15">
      <c r="A19" s="20" t="s">
        <v>341</v>
      </c>
      <c r="B19" s="58"/>
      <c r="C19" s="95">
        <v>3628000</v>
      </c>
      <c r="D19" s="58"/>
      <c r="E19" s="95">
        <f>2273768+17300</f>
        <v>2291068</v>
      </c>
      <c r="F19" s="83"/>
      <c r="G19" s="95">
        <f>200000+300000</f>
        <v>500000</v>
      </c>
      <c r="H19" s="83"/>
      <c r="I19" s="95">
        <f>300000+31052+101000+77000</f>
        <v>509052</v>
      </c>
      <c r="J19" s="83"/>
      <c r="K19" s="95">
        <f>375000+300000+200000+100000</f>
        <v>975000</v>
      </c>
      <c r="L19" s="83"/>
      <c r="M19" s="95">
        <f>375000+300000+300000</f>
        <v>975000</v>
      </c>
      <c r="N19" s="83"/>
      <c r="O19" s="95">
        <f>375000+300000+300000</f>
        <v>975000</v>
      </c>
    </row>
    <row r="20" spans="1:15" s="20" customFormat="1" x14ac:dyDescent="0.15">
      <c r="A20" s="20" t="s">
        <v>171</v>
      </c>
      <c r="B20" s="58"/>
      <c r="C20" s="92">
        <v>0</v>
      </c>
      <c r="D20" s="58"/>
      <c r="E20" s="92">
        <v>0</v>
      </c>
      <c r="F20" s="58"/>
      <c r="G20" s="92">
        <v>0</v>
      </c>
      <c r="H20" s="58"/>
      <c r="I20" s="92">
        <v>1000000</v>
      </c>
      <c r="J20" s="58"/>
      <c r="K20" s="92">
        <v>0</v>
      </c>
      <c r="L20" s="58"/>
      <c r="M20" s="92">
        <v>1000000</v>
      </c>
      <c r="N20" s="58"/>
      <c r="O20" s="92">
        <v>1000000</v>
      </c>
    </row>
    <row r="21" spans="1:15" s="20" customFormat="1" x14ac:dyDescent="0.15">
      <c r="A21" s="20" t="s">
        <v>124</v>
      </c>
      <c r="B21" s="58"/>
      <c r="C21" s="92">
        <f>+'Condensed IS'!J35+'Condensed IS'!J47-'Condensed IS'!J38</f>
        <v>2359806.2000000002</v>
      </c>
      <c r="D21" s="58"/>
      <c r="E21" s="92">
        <f>+'Condensed IS'!L35+'Condensed IS'!L47-'Condensed IS'!L38</f>
        <v>2640618.6300000004</v>
      </c>
      <c r="F21" s="58"/>
      <c r="G21" s="92">
        <f>+'Condensed IS'!P35+'Condensed IS'!P47-'Condensed IS'!P38</f>
        <v>2770375.71</v>
      </c>
      <c r="H21" s="58"/>
      <c r="I21" s="92">
        <f>+'Condensed IS'!R35+'Condensed IS'!R47-'Condensed IS'!R38</f>
        <v>2643837.0699999998</v>
      </c>
      <c r="J21" s="58"/>
      <c r="K21" s="92">
        <f>+'Condensed IS'!T35+'Condensed IS'!T47-'Condensed IS'!T38</f>
        <v>2693254</v>
      </c>
      <c r="L21" s="58"/>
      <c r="M21" s="92">
        <f>+'Condensed IS'!V35+'Condensed IS'!V47-'Condensed IS'!V38</f>
        <v>2744660.2305000001</v>
      </c>
      <c r="N21" s="58"/>
      <c r="O21" s="92">
        <f>+'Condensed IS'!X35+'Condensed IS'!X47-'Condensed IS'!X38</f>
        <v>2797050.3913150001</v>
      </c>
    </row>
    <row r="22" spans="1:15" s="20" customFormat="1" x14ac:dyDescent="0.15">
      <c r="A22" s="20" t="s">
        <v>126</v>
      </c>
      <c r="B22" s="58"/>
      <c r="C22" s="92">
        <f>+'Condensed IS'!J53+'Condensed IS'!J54</f>
        <v>25300.560000000001</v>
      </c>
      <c r="D22" s="58"/>
      <c r="E22" s="92">
        <f>+'Condensed IS'!L53+'Condensed IS'!L54</f>
        <v>26172.75</v>
      </c>
      <c r="F22" s="58"/>
      <c r="G22" s="92">
        <f>+'Condensed IS'!P53+'Condensed IS'!P54</f>
        <v>16500</v>
      </c>
      <c r="H22" s="58"/>
      <c r="I22" s="92">
        <f>+'Condensed IS'!R53+'Condensed IS'!R54</f>
        <v>500</v>
      </c>
      <c r="J22" s="58"/>
      <c r="K22" s="92">
        <f>+'Condensed IS'!T53+'Condensed IS'!T54</f>
        <v>500</v>
      </c>
      <c r="L22" s="58"/>
      <c r="M22" s="92">
        <f>+'Condensed IS'!V53+'Condensed IS'!V54</f>
        <v>500</v>
      </c>
      <c r="N22" s="58"/>
      <c r="O22" s="92">
        <f>+'Condensed IS'!X53+'Condensed IS'!X54</f>
        <v>500</v>
      </c>
    </row>
    <row r="23" spans="1:15" s="20" customFormat="1" x14ac:dyDescent="0.15">
      <c r="A23" s="20" t="s">
        <v>127</v>
      </c>
      <c r="B23" s="58"/>
      <c r="C23" s="92">
        <f>+'Condensed IS'!J48</f>
        <v>45604</v>
      </c>
      <c r="D23" s="58"/>
      <c r="E23" s="92">
        <f>+'Condensed IS'!L48</f>
        <v>59727.99</v>
      </c>
      <c r="F23" s="58"/>
      <c r="G23" s="92">
        <f>+'Condensed IS'!P48</f>
        <v>82000</v>
      </c>
      <c r="H23" s="58"/>
      <c r="I23" s="92">
        <f>+'Condensed IS'!R48</f>
        <v>80000</v>
      </c>
      <c r="J23" s="58"/>
      <c r="K23" s="92">
        <f>+'Condensed IS'!T48</f>
        <v>80000</v>
      </c>
      <c r="L23" s="58"/>
      <c r="M23" s="92">
        <f>+'Condensed IS'!V48</f>
        <v>80000</v>
      </c>
      <c r="N23" s="58"/>
      <c r="O23" s="92">
        <f>+'Condensed IS'!X48</f>
        <v>80000</v>
      </c>
    </row>
    <row r="24" spans="1:15" s="20" customFormat="1" x14ac:dyDescent="0.15">
      <c r="A24" s="20" t="s">
        <v>122</v>
      </c>
      <c r="B24" s="58"/>
      <c r="C24" s="92">
        <f>+'Condensed IS'!J51+'Condensed IS'!J57</f>
        <v>105857</v>
      </c>
      <c r="D24" s="58"/>
      <c r="E24" s="92">
        <f>+'Condensed IS'!L51+'Condensed IS'!L57</f>
        <v>64616.14</v>
      </c>
      <c r="F24" s="58"/>
      <c r="G24" s="92">
        <f>+'Condensed IS'!P51+'Condensed IS'!P57</f>
        <v>57000</v>
      </c>
      <c r="H24" s="58"/>
      <c r="I24" s="92">
        <f>+'Condensed IS'!R51+'Condensed IS'!R57</f>
        <v>40000</v>
      </c>
      <c r="J24" s="58"/>
      <c r="K24" s="92">
        <f>+'Condensed IS'!T51+'Condensed IS'!T57</f>
        <v>40000</v>
      </c>
      <c r="L24" s="58"/>
      <c r="M24" s="92">
        <f>+'Condensed IS'!V51+'Condensed IS'!V57</f>
        <v>40000</v>
      </c>
      <c r="N24" s="58"/>
      <c r="O24" s="92">
        <f>+'Condensed IS'!X51+'Condensed IS'!X57</f>
        <v>40000</v>
      </c>
    </row>
    <row r="25" spans="1:15" s="20" customFormat="1" x14ac:dyDescent="0.15">
      <c r="A25" s="20" t="s">
        <v>128</v>
      </c>
      <c r="B25" s="58"/>
      <c r="C25" s="92">
        <f>+'Condensed IS'!J55+'Condensed IS'!J56</f>
        <v>120279</v>
      </c>
      <c r="D25" s="58"/>
      <c r="E25" s="92">
        <f>+'Condensed IS'!L55+'Condensed IS'!L56</f>
        <v>46915.270000000004</v>
      </c>
      <c r="F25" s="58"/>
      <c r="G25" s="92">
        <f>+'Condensed IS'!P55+'Condensed IS'!P56</f>
        <v>32000</v>
      </c>
      <c r="H25" s="58"/>
      <c r="I25" s="92">
        <f>+'Condensed IS'!R55+'Condensed IS'!R56</f>
        <v>27500</v>
      </c>
      <c r="J25" s="58"/>
      <c r="K25" s="92">
        <f>+'Condensed IS'!T55+'Condensed IS'!T56</f>
        <v>27500</v>
      </c>
      <c r="L25" s="58"/>
      <c r="M25" s="92">
        <f>+'Condensed IS'!V55+'Condensed IS'!V56</f>
        <v>27500</v>
      </c>
      <c r="N25" s="58"/>
      <c r="O25" s="92">
        <f>+'Condensed IS'!X55+'Condensed IS'!X56</f>
        <v>27500</v>
      </c>
    </row>
    <row r="26" spans="1:15" s="20" customFormat="1" x14ac:dyDescent="0.15">
      <c r="A26" s="20" t="s">
        <v>280</v>
      </c>
      <c r="B26" s="58"/>
      <c r="C26" s="92">
        <v>0</v>
      </c>
      <c r="D26" s="58"/>
      <c r="E26" s="95">
        <f>285000+56565+198443</f>
        <v>540008</v>
      </c>
      <c r="F26" s="58"/>
      <c r="G26" s="95">
        <f>1188745-56565</f>
        <v>1132180</v>
      </c>
      <c r="H26" s="58"/>
      <c r="I26" s="95">
        <v>0</v>
      </c>
      <c r="J26" s="58"/>
      <c r="K26" s="95">
        <v>0</v>
      </c>
      <c r="L26" s="58"/>
      <c r="M26" s="95">
        <v>0</v>
      </c>
      <c r="N26" s="58"/>
      <c r="O26" s="92">
        <v>0</v>
      </c>
    </row>
    <row r="27" spans="1:15" s="20" customFormat="1" x14ac:dyDescent="0.15">
      <c r="A27" s="20" t="s">
        <v>125</v>
      </c>
      <c r="B27" s="58"/>
      <c r="C27" s="94">
        <f>+'Condensed IS'!J62+'Condensed IS'!J64+'Condensed IS'!J68+38863</f>
        <v>345089</v>
      </c>
      <c r="D27" s="58"/>
      <c r="E27" s="152">
        <f>+'Condensed IS'!L62+'Condensed IS'!L64+'Condensed IS'!L68+'Condensed IS'!L58+'Condensed IS'!L63</f>
        <v>295977.19</v>
      </c>
      <c r="F27" s="58"/>
      <c r="G27" s="152">
        <f>+'Condensed IS'!P62+'Condensed IS'!P64+'Condensed IS'!P68+'Condensed IS'!P58+'Condensed IS'!P63</f>
        <v>506976.36643972015</v>
      </c>
      <c r="H27" s="58"/>
      <c r="I27" s="152">
        <f>+'Condensed IS'!R62+'Condensed IS'!R64+'Condensed IS'!R68+'Condensed IS'!R58+'Condensed IS'!R63</f>
        <v>674790.37981088867</v>
      </c>
      <c r="J27" s="58"/>
      <c r="K27" s="152">
        <f>+'Condensed IS'!T62+'Condensed IS'!T64+'Condensed IS'!T68+'Condensed IS'!T58+'Condensed IS'!T63</f>
        <v>801608.29285564285</v>
      </c>
      <c r="L27" s="58"/>
      <c r="M27" s="152">
        <f>+'Condensed IS'!V62+'Condensed IS'!V64+'Condensed IS'!V68+'Condensed IS'!V58+'Condensed IS'!V63</f>
        <v>842450.72023666091</v>
      </c>
      <c r="N27" s="58"/>
      <c r="O27" s="152">
        <f>+'Condensed IS'!X62+'Condensed IS'!X64+'Condensed IS'!X68+'Condensed IS'!X58+'Condensed IS'!X63</f>
        <v>958399.09530627646</v>
      </c>
    </row>
    <row r="28" spans="1:15" x14ac:dyDescent="0.15">
      <c r="A28" t="s">
        <v>129</v>
      </c>
      <c r="B28" s="58"/>
      <c r="C28" s="96">
        <f>SUM(C18:C27)</f>
        <v>12192181.76</v>
      </c>
      <c r="D28" s="58"/>
      <c r="E28" s="96">
        <f>SUM(E18:E27)</f>
        <v>14801570.970000001</v>
      </c>
      <c r="F28" s="58"/>
      <c r="G28" s="96">
        <f>SUM(G18:G27)</f>
        <v>12766032.076439722</v>
      </c>
      <c r="H28" s="58"/>
      <c r="I28" s="96">
        <f>SUM(I18:I27)</f>
        <v>11615679.449810889</v>
      </c>
      <c r="J28" s="58"/>
      <c r="K28" s="96">
        <f>SUM(K18:K27)</f>
        <v>11257862.292855643</v>
      </c>
      <c r="L28" s="58"/>
      <c r="M28" s="96">
        <f>SUM(M18:M27)</f>
        <v>12350110.950736661</v>
      </c>
      <c r="N28" s="58"/>
      <c r="O28" s="96">
        <f>SUM(O18:O27)</f>
        <v>12518449.486621277</v>
      </c>
    </row>
    <row r="29" spans="1:15" x14ac:dyDescent="0.15">
      <c r="A29" t="s">
        <v>130</v>
      </c>
      <c r="B29" s="58"/>
      <c r="C29" s="92">
        <f>+C8+C15-C28+0.25</f>
        <v>13031760.49</v>
      </c>
      <c r="D29" s="58"/>
      <c r="E29" s="95">
        <f>+E8+E15-E28</f>
        <v>11846502.569999998</v>
      </c>
      <c r="F29" s="58"/>
      <c r="G29" s="92">
        <f>+G8+G15-G28</f>
        <v>13134598.093560277</v>
      </c>
      <c r="H29" s="58"/>
      <c r="I29" s="92">
        <f>+I8+I15-I28</f>
        <v>10400347.64374939</v>
      </c>
      <c r="J29" s="58"/>
      <c r="K29" s="92">
        <f>+K8+K15-K28</f>
        <v>9286034.3508937471</v>
      </c>
      <c r="L29" s="58"/>
      <c r="M29" s="92">
        <f>+M8+M15-M28</f>
        <v>7850092.4001570866</v>
      </c>
      <c r="N29" s="58"/>
      <c r="O29" s="92">
        <f>+O8+O15-O28</f>
        <v>6932307.9135358091</v>
      </c>
    </row>
    <row r="30" spans="1:15" hidden="1" x14ac:dyDescent="0.15">
      <c r="A30" s="138" t="s">
        <v>172</v>
      </c>
      <c r="B30" s="139"/>
      <c r="C30" s="140">
        <f>+'Condensed BS'!N17+'Condensed BS'!N24</f>
        <v>13134598.093560277</v>
      </c>
      <c r="D30" s="139"/>
      <c r="E30" s="140">
        <f>+'Condensed BS'!P17+'Condensed BS'!P24</f>
        <v>10400347.64374939</v>
      </c>
      <c r="F30" s="139"/>
      <c r="G30" s="140">
        <f>+'Condensed BS'!R17+'Condensed BS'!R24</f>
        <v>9286034.3508937471</v>
      </c>
      <c r="H30" s="139"/>
      <c r="I30" s="140">
        <f>+'Condensed BS'!T17+'Condensed BS'!T24</f>
        <v>7850092.4001570866</v>
      </c>
      <c r="J30" s="139"/>
      <c r="K30" s="141">
        <f>+'Condensed BS'!V17+'Condensed BS'!V24</f>
        <v>6932307.9135358091</v>
      </c>
      <c r="L30" s="139"/>
      <c r="M30" s="141">
        <f>+'Condensed BS'!X17+'Condensed BS'!X24</f>
        <v>0</v>
      </c>
      <c r="N30" s="139"/>
      <c r="O30" s="141">
        <f>+'Condensed BS'!Y17+'Condensed BS'!Y24</f>
        <v>0</v>
      </c>
    </row>
    <row r="31" spans="1:15" hidden="1" x14ac:dyDescent="0.15">
      <c r="A31" s="138" t="s">
        <v>173</v>
      </c>
      <c r="B31" s="139"/>
      <c r="C31" s="140">
        <f>+C30-C29</f>
        <v>102837.60356027633</v>
      </c>
      <c r="D31" s="139"/>
      <c r="E31" s="140">
        <f>+E30-E29</f>
        <v>-1446154.9262506086</v>
      </c>
      <c r="F31" s="139"/>
      <c r="G31" s="140">
        <f>+G30-G29</f>
        <v>-3848563.7426665295</v>
      </c>
      <c r="H31" s="139"/>
      <c r="I31" s="140">
        <f>+I30-I29</f>
        <v>-2550255.2435923032</v>
      </c>
      <c r="J31" s="139"/>
      <c r="K31" s="141">
        <f>+K30-K29</f>
        <v>-2353726.4373579379</v>
      </c>
      <c r="L31" s="139"/>
      <c r="M31" s="141">
        <f>+M30-M29</f>
        <v>-7850092.4001570866</v>
      </c>
      <c r="N31" s="139"/>
      <c r="O31" s="141">
        <f>+O30-O29</f>
        <v>-6932307.9135358091</v>
      </c>
    </row>
    <row r="32" spans="1:15" s="8" customFormat="1" x14ac:dyDescent="0.15">
      <c r="A32" s="8" t="s">
        <v>198</v>
      </c>
      <c r="B32" s="83"/>
      <c r="C32" s="152">
        <f>+C20</f>
        <v>0</v>
      </c>
      <c r="D32" s="83"/>
      <c r="E32" s="152">
        <f>+E20</f>
        <v>0</v>
      </c>
      <c r="F32" s="83"/>
      <c r="G32" s="152">
        <f>+E32+G20</f>
        <v>0</v>
      </c>
      <c r="H32" s="83"/>
      <c r="I32" s="152">
        <f>+G32+I20</f>
        <v>1000000</v>
      </c>
      <c r="J32" s="83"/>
      <c r="K32" s="152">
        <f>+I32+K20</f>
        <v>1000000</v>
      </c>
      <c r="L32" s="83"/>
      <c r="M32" s="152">
        <f>+K32+M20</f>
        <v>2000000</v>
      </c>
      <c r="N32" s="83"/>
      <c r="O32" s="152">
        <f>+M32+O20</f>
        <v>3000000</v>
      </c>
    </row>
    <row r="33" spans="1:15" x14ac:dyDescent="0.15">
      <c r="A33" s="8" t="s">
        <v>199</v>
      </c>
      <c r="B33" s="58"/>
      <c r="C33" s="93">
        <f>+C29+C32</f>
        <v>13031760.49</v>
      </c>
      <c r="D33" s="58"/>
      <c r="E33" s="93">
        <f>+E29+E32</f>
        <v>11846502.569999998</v>
      </c>
      <c r="F33" s="58"/>
      <c r="G33" s="93">
        <f>+G29+G32</f>
        <v>13134598.093560277</v>
      </c>
      <c r="H33" s="58"/>
      <c r="I33" s="93">
        <f>+I29+I32</f>
        <v>11400347.64374939</v>
      </c>
      <c r="J33" s="58"/>
      <c r="K33" s="93">
        <f>+K29+K32</f>
        <v>10286034.350893747</v>
      </c>
      <c r="L33" s="58"/>
      <c r="M33" s="92">
        <f>+M29+M32</f>
        <v>9850092.4001570866</v>
      </c>
      <c r="N33" s="58"/>
      <c r="O33" s="92">
        <f>+O29+O32</f>
        <v>9932307.9135358091</v>
      </c>
    </row>
    <row r="34" spans="1:15" s="20" customFormat="1" x14ac:dyDescent="0.15">
      <c r="B34" s="58"/>
      <c r="C34" s="93"/>
      <c r="D34" s="58"/>
      <c r="E34" s="92"/>
      <c r="F34" s="58"/>
      <c r="G34" s="92"/>
      <c r="H34" s="58"/>
      <c r="I34" s="92"/>
      <c r="J34" s="58"/>
      <c r="K34" s="92"/>
      <c r="L34" s="58"/>
      <c r="M34" s="92"/>
      <c r="N34" s="58"/>
      <c r="O34" s="92"/>
    </row>
    <row r="35" spans="1:15" x14ac:dyDescent="0.15">
      <c r="A35" t="s">
        <v>134</v>
      </c>
      <c r="B35" s="58"/>
      <c r="C35" s="93">
        <v>1906220</v>
      </c>
      <c r="D35" s="58"/>
      <c r="E35" s="95">
        <f>3165384+326088</f>
        <v>3491472</v>
      </c>
      <c r="F35" s="58"/>
      <c r="G35" s="92">
        <v>4000000</v>
      </c>
      <c r="H35" s="58"/>
      <c r="I35" s="92">
        <v>3500000</v>
      </c>
      <c r="J35" s="58"/>
      <c r="K35" s="92">
        <v>3500000</v>
      </c>
      <c r="L35" s="58"/>
      <c r="M35" s="92">
        <v>3500000</v>
      </c>
      <c r="N35" s="58"/>
      <c r="O35" s="92">
        <v>3500000</v>
      </c>
    </row>
    <row r="36" spans="1:15" x14ac:dyDescent="0.15">
      <c r="A36" t="s">
        <v>135</v>
      </c>
      <c r="B36" s="58"/>
      <c r="C36" s="93">
        <v>355494</v>
      </c>
      <c r="D36" s="58"/>
      <c r="E36" s="95">
        <f>1461755+199400+86669</f>
        <v>1747824</v>
      </c>
      <c r="F36" s="58"/>
      <c r="G36" s="92">
        <v>525000</v>
      </c>
      <c r="H36" s="58"/>
      <c r="I36" s="92">
        <v>500000</v>
      </c>
      <c r="J36" s="58"/>
      <c r="K36" s="92">
        <v>500000</v>
      </c>
      <c r="L36" s="58"/>
      <c r="M36" s="92">
        <v>500000</v>
      </c>
      <c r="N36" s="58"/>
      <c r="O36" s="92">
        <v>500000</v>
      </c>
    </row>
    <row r="37" spans="1:15" s="20" customFormat="1" x14ac:dyDescent="0.15">
      <c r="A37" s="20" t="s">
        <v>195</v>
      </c>
      <c r="B37" s="58"/>
      <c r="C37" s="93">
        <v>598500</v>
      </c>
      <c r="D37" s="58"/>
      <c r="E37" s="95">
        <f>1501500+10500</f>
        <v>1512000</v>
      </c>
      <c r="F37" s="58"/>
      <c r="G37" s="92">
        <v>504000</v>
      </c>
      <c r="H37" s="58"/>
      <c r="I37" s="92">
        <v>0</v>
      </c>
      <c r="J37" s="58"/>
      <c r="K37" s="92">
        <v>0</v>
      </c>
      <c r="L37" s="58"/>
      <c r="M37" s="92">
        <v>0</v>
      </c>
      <c r="N37" s="58"/>
      <c r="O37" s="92">
        <v>0</v>
      </c>
    </row>
    <row r="38" spans="1:15" x14ac:dyDescent="0.15">
      <c r="A38" t="s">
        <v>144</v>
      </c>
      <c r="B38" s="58"/>
      <c r="C38" s="161">
        <f>2702032-39500</f>
        <v>2662532</v>
      </c>
      <c r="D38" s="58"/>
      <c r="E38" s="95">
        <f>1808910+137000</f>
        <v>1945910</v>
      </c>
      <c r="F38" s="58"/>
      <c r="G38" s="92">
        <v>2590000</v>
      </c>
      <c r="H38" s="58"/>
      <c r="I38" s="92">
        <v>2590000</v>
      </c>
      <c r="J38" s="58"/>
      <c r="K38" s="92">
        <v>2590000</v>
      </c>
      <c r="L38" s="58"/>
      <c r="M38" s="92">
        <v>2590000</v>
      </c>
      <c r="N38" s="58"/>
      <c r="O38" s="92">
        <v>2590000</v>
      </c>
    </row>
    <row r="39" spans="1:15" s="20" customFormat="1" x14ac:dyDescent="0.15">
      <c r="A39" s="20" t="s">
        <v>196</v>
      </c>
      <c r="B39" s="58"/>
      <c r="C39" s="93">
        <v>39500</v>
      </c>
      <c r="D39" s="58"/>
      <c r="E39" s="92">
        <v>21700</v>
      </c>
      <c r="F39" s="58"/>
      <c r="G39" s="92">
        <v>10000</v>
      </c>
      <c r="H39" s="58"/>
      <c r="I39" s="92">
        <v>10000</v>
      </c>
      <c r="J39" s="58"/>
      <c r="K39" s="92">
        <v>10000</v>
      </c>
      <c r="L39" s="58"/>
      <c r="M39" s="92">
        <v>10000</v>
      </c>
      <c r="N39" s="58"/>
      <c r="O39" s="92">
        <v>10000</v>
      </c>
    </row>
    <row r="40" spans="1:15" x14ac:dyDescent="0.15">
      <c r="A40" t="s">
        <v>136</v>
      </c>
      <c r="B40" s="58"/>
      <c r="C40" s="94">
        <v>0</v>
      </c>
      <c r="D40" s="58"/>
      <c r="E40" s="94">
        <v>117561</v>
      </c>
      <c r="F40" s="58"/>
      <c r="G40" s="94">
        <v>40000</v>
      </c>
      <c r="H40" s="58"/>
      <c r="I40" s="94">
        <v>40000</v>
      </c>
      <c r="J40" s="58"/>
      <c r="K40" s="94">
        <v>40000</v>
      </c>
      <c r="L40" s="58"/>
      <c r="M40" s="94">
        <v>40000</v>
      </c>
      <c r="N40" s="58"/>
      <c r="O40" s="94">
        <v>40000</v>
      </c>
    </row>
    <row r="41" spans="1:15" x14ac:dyDescent="0.15">
      <c r="A41" t="s">
        <v>137</v>
      </c>
      <c r="B41" s="58"/>
      <c r="C41" s="93">
        <f>SUM(C35:C40)</f>
        <v>5562246</v>
      </c>
      <c r="D41" s="58"/>
      <c r="E41" s="92">
        <f>SUM(E35:E40)</f>
        <v>8836467</v>
      </c>
      <c r="F41" s="58"/>
      <c r="G41" s="92">
        <f>SUM(G35:G40)</f>
        <v>7669000</v>
      </c>
      <c r="H41" s="58"/>
      <c r="I41" s="92">
        <f>SUM(I35:I40)</f>
        <v>6640000</v>
      </c>
      <c r="J41" s="58"/>
      <c r="K41" s="92">
        <f>SUM(K35:K40)</f>
        <v>6640000</v>
      </c>
      <c r="L41" s="58"/>
      <c r="M41" s="92">
        <f>SUM(M35:M40)</f>
        <v>6640000</v>
      </c>
      <c r="N41" s="58"/>
      <c r="O41" s="92">
        <f>SUM(O35:O40)</f>
        <v>6640000</v>
      </c>
    </row>
    <row r="42" spans="1:15" x14ac:dyDescent="0.15">
      <c r="B42" s="58"/>
      <c r="C42" s="93"/>
      <c r="D42" s="58"/>
      <c r="E42" s="92"/>
      <c r="F42" s="58"/>
      <c r="G42" s="92"/>
      <c r="H42" s="58"/>
      <c r="I42" s="92"/>
      <c r="J42" s="58"/>
      <c r="K42" s="92"/>
      <c r="L42" s="58"/>
      <c r="M42" s="92"/>
      <c r="N42" s="58"/>
      <c r="O42" s="92"/>
    </row>
    <row r="43" spans="1:15" x14ac:dyDescent="0.15">
      <c r="B43" s="58"/>
      <c r="C43" s="93"/>
      <c r="D43" s="58"/>
      <c r="E43" s="92"/>
      <c r="F43" s="58"/>
      <c r="G43" s="92"/>
      <c r="H43" s="58"/>
      <c r="I43" s="92"/>
      <c r="J43" s="58"/>
      <c r="K43" s="92"/>
      <c r="L43" s="58"/>
      <c r="M43" s="92"/>
      <c r="N43" s="58"/>
      <c r="O43" s="92"/>
    </row>
    <row r="44" spans="1:15" x14ac:dyDescent="0.15">
      <c r="A44" t="s">
        <v>138</v>
      </c>
      <c r="B44" s="58"/>
      <c r="C44" s="93"/>
      <c r="D44" s="58"/>
      <c r="E44" s="92"/>
      <c r="F44" s="58"/>
      <c r="G44" s="92"/>
      <c r="H44" s="58"/>
      <c r="I44" s="92"/>
      <c r="J44" s="58"/>
      <c r="K44" s="92"/>
      <c r="L44" s="58"/>
      <c r="M44" s="92"/>
      <c r="N44" s="58"/>
      <c r="O44" s="92"/>
    </row>
    <row r="45" spans="1:15" x14ac:dyDescent="0.15">
      <c r="A45" s="109" t="s">
        <v>139</v>
      </c>
      <c r="B45" s="143"/>
      <c r="C45" s="142">
        <v>2.7300000000000001E-2</v>
      </c>
      <c r="D45" s="143"/>
      <c r="E45" s="210">
        <v>2.6800000000000001E-2</v>
      </c>
      <c r="F45" s="143"/>
      <c r="G45" s="210">
        <v>3.3000000000000002E-2</v>
      </c>
      <c r="H45" s="143"/>
      <c r="I45" s="210">
        <v>3.49E-2</v>
      </c>
      <c r="J45" s="143"/>
      <c r="K45" s="210">
        <v>3.6200000000000003E-2</v>
      </c>
      <c r="L45" s="143"/>
      <c r="M45" s="210">
        <v>3.7400000000000003E-2</v>
      </c>
      <c r="N45" s="143"/>
      <c r="O45" s="210">
        <v>3.8300000000000001E-2</v>
      </c>
    </row>
    <row r="46" spans="1:15" x14ac:dyDescent="0.15">
      <c r="A46" s="109" t="s">
        <v>140</v>
      </c>
      <c r="B46" s="143"/>
      <c r="C46" s="142">
        <v>2.5999999999999999E-2</v>
      </c>
      <c r="D46" s="143"/>
      <c r="E46" s="210">
        <f>(((3000000*2.5%)+(400000*3%)+(1265000*4.6%))/(3000000+400000+1265000))</f>
        <v>3.1123258306538049E-2</v>
      </c>
      <c r="F46" s="143"/>
      <c r="G46" s="210">
        <v>4.1399999999999999E-2</v>
      </c>
      <c r="H46" s="143"/>
      <c r="I46" s="210">
        <v>0.04</v>
      </c>
      <c r="J46" s="143"/>
      <c r="K46" s="210">
        <v>0.04</v>
      </c>
      <c r="L46" s="143"/>
      <c r="M46" s="210">
        <v>0.04</v>
      </c>
      <c r="N46" s="143"/>
      <c r="O46" s="210">
        <v>0.04</v>
      </c>
    </row>
    <row r="47" spans="1:15" x14ac:dyDescent="0.15">
      <c r="B47" s="35"/>
      <c r="C47" s="93"/>
      <c r="D47" s="35"/>
      <c r="E47" s="93"/>
      <c r="F47" s="35"/>
      <c r="G47" s="93"/>
      <c r="H47" s="35"/>
      <c r="I47" s="93"/>
      <c r="J47" s="35"/>
      <c r="K47" s="93"/>
      <c r="L47" s="35"/>
      <c r="M47" s="93"/>
      <c r="N47" s="35"/>
      <c r="O47" s="93"/>
    </row>
    <row r="48" spans="1:15" x14ac:dyDescent="0.15">
      <c r="B48" s="35"/>
      <c r="C48" s="93"/>
      <c r="D48" s="35"/>
      <c r="E48" s="93"/>
      <c r="F48" s="35"/>
      <c r="G48" s="93"/>
      <c r="H48" s="35"/>
      <c r="I48" s="93"/>
      <c r="J48" s="35"/>
      <c r="K48" s="93"/>
      <c r="L48" s="35"/>
      <c r="M48" s="93"/>
      <c r="N48" s="35"/>
      <c r="O48" s="93"/>
    </row>
    <row r="49" spans="2:15" x14ac:dyDescent="0.15">
      <c r="B49" s="35"/>
      <c r="C49" s="93"/>
      <c r="D49" s="35"/>
      <c r="E49" s="93"/>
      <c r="F49" s="35"/>
      <c r="G49" s="93"/>
      <c r="H49" s="35"/>
      <c r="I49" s="93"/>
      <c r="J49" s="35"/>
      <c r="K49" s="93"/>
      <c r="L49" s="35"/>
      <c r="M49" s="93"/>
      <c r="N49" s="35"/>
      <c r="O49" s="93"/>
    </row>
    <row r="50" spans="2:15" x14ac:dyDescent="0.15">
      <c r="B50" s="35"/>
      <c r="C50" s="93"/>
      <c r="D50" s="35"/>
      <c r="E50" s="93"/>
      <c r="F50" s="35"/>
      <c r="G50" s="93"/>
      <c r="H50" s="35"/>
      <c r="I50" s="93"/>
      <c r="J50" s="35"/>
      <c r="K50" s="93"/>
      <c r="L50" s="35"/>
      <c r="M50" s="93"/>
      <c r="N50" s="35"/>
      <c r="O50" s="93"/>
    </row>
    <row r="51" spans="2:15" x14ac:dyDescent="0.15">
      <c r="B51" s="35"/>
      <c r="C51" s="93"/>
      <c r="D51" s="35"/>
      <c r="E51" s="93"/>
      <c r="F51" s="35"/>
      <c r="G51" s="93"/>
      <c r="H51" s="35"/>
      <c r="I51" s="93"/>
      <c r="J51" s="35"/>
      <c r="K51" s="93"/>
      <c r="L51" s="35"/>
      <c r="M51" s="93"/>
      <c r="N51" s="35"/>
      <c r="O51" s="93"/>
    </row>
    <row r="52" spans="2:15" x14ac:dyDescent="0.15">
      <c r="B52" s="35"/>
      <c r="C52" s="93"/>
      <c r="D52" s="35"/>
      <c r="E52" s="93"/>
      <c r="F52" s="35"/>
      <c r="G52" s="93"/>
      <c r="H52" s="35"/>
      <c r="I52" s="93"/>
      <c r="J52" s="35"/>
      <c r="K52" s="93"/>
      <c r="L52" s="35"/>
      <c r="M52" s="93"/>
      <c r="N52" s="35"/>
      <c r="O52" s="93"/>
    </row>
    <row r="53" spans="2:15" x14ac:dyDescent="0.15">
      <c r="B53" s="35"/>
      <c r="C53" s="93"/>
      <c r="D53" s="35"/>
      <c r="E53" s="93"/>
      <c r="F53" s="35"/>
      <c r="G53" s="93"/>
      <c r="H53" s="35"/>
      <c r="I53" s="93"/>
      <c r="J53" s="35"/>
      <c r="K53" s="93"/>
      <c r="L53" s="35"/>
      <c r="M53" s="93"/>
      <c r="N53" s="35"/>
      <c r="O53" s="93"/>
    </row>
    <row r="54" spans="2:15" x14ac:dyDescent="0.15">
      <c r="B54" s="35"/>
      <c r="C54" s="93"/>
      <c r="D54" s="35"/>
      <c r="E54" s="93"/>
      <c r="F54" s="35"/>
      <c r="G54" s="93"/>
      <c r="H54" s="35"/>
      <c r="I54" s="93"/>
      <c r="J54" s="35"/>
      <c r="K54" s="93"/>
      <c r="L54" s="35"/>
      <c r="M54" s="93"/>
      <c r="N54" s="35"/>
      <c r="O54" s="93"/>
    </row>
    <row r="55" spans="2:15" x14ac:dyDescent="0.15">
      <c r="B55" s="35"/>
      <c r="C55" s="93"/>
      <c r="D55" s="35"/>
      <c r="E55" s="93"/>
      <c r="F55" s="35"/>
      <c r="G55" s="93"/>
      <c r="H55" s="35"/>
      <c r="I55" s="93"/>
      <c r="J55" s="35"/>
      <c r="K55" s="93"/>
      <c r="L55" s="35"/>
      <c r="M55" s="93"/>
      <c r="N55" s="35"/>
      <c r="O55" s="93"/>
    </row>
    <row r="56" spans="2:15" x14ac:dyDescent="0.15">
      <c r="B56" s="35"/>
      <c r="C56" s="93"/>
      <c r="D56" s="35"/>
      <c r="E56" s="93"/>
      <c r="F56" s="35"/>
      <c r="G56" s="93"/>
      <c r="H56" s="35"/>
      <c r="I56" s="93"/>
      <c r="J56" s="35"/>
      <c r="K56" s="93"/>
      <c r="L56" s="35"/>
      <c r="M56" s="93"/>
      <c r="N56" s="35"/>
      <c r="O56" s="93"/>
    </row>
    <row r="57" spans="2:15" x14ac:dyDescent="0.15">
      <c r="B57" s="35"/>
      <c r="C57" s="93"/>
      <c r="D57" s="35"/>
      <c r="E57" s="93"/>
      <c r="F57" s="35"/>
      <c r="G57" s="93"/>
      <c r="H57" s="35"/>
      <c r="I57" s="93"/>
      <c r="J57" s="35"/>
      <c r="K57" s="93"/>
      <c r="L57" s="35"/>
      <c r="M57" s="93"/>
      <c r="N57" s="35"/>
      <c r="O57" s="93"/>
    </row>
    <row r="58" spans="2:15" x14ac:dyDescent="0.15">
      <c r="B58" s="35"/>
      <c r="C58" s="93"/>
      <c r="D58" s="35"/>
      <c r="E58" s="93"/>
      <c r="F58" s="35"/>
      <c r="G58" s="93"/>
      <c r="H58" s="35"/>
      <c r="I58" s="93"/>
      <c r="J58" s="35"/>
      <c r="K58" s="93"/>
      <c r="L58" s="35"/>
      <c r="M58" s="93"/>
      <c r="N58" s="35"/>
      <c r="O58" s="93"/>
    </row>
    <row r="59" spans="2:15" x14ac:dyDescent="0.15">
      <c r="B59" s="35"/>
      <c r="C59" s="93"/>
      <c r="D59" s="35"/>
      <c r="E59" s="93"/>
      <c r="F59" s="35"/>
      <c r="G59" s="93"/>
      <c r="H59" s="35"/>
      <c r="I59" s="93"/>
      <c r="J59" s="35"/>
      <c r="K59" s="93"/>
      <c r="L59" s="35"/>
      <c r="M59" s="93"/>
      <c r="N59" s="35"/>
      <c r="O59" s="93"/>
    </row>
    <row r="60" spans="2:15" x14ac:dyDescent="0.15">
      <c r="B60" s="35"/>
      <c r="C60" s="93"/>
      <c r="D60" s="35"/>
      <c r="E60" s="93"/>
      <c r="F60" s="35"/>
      <c r="G60" s="93"/>
      <c r="H60" s="35"/>
      <c r="I60" s="93"/>
      <c r="J60" s="35"/>
      <c r="K60" s="93"/>
      <c r="L60" s="35"/>
      <c r="M60" s="93"/>
      <c r="N60" s="35"/>
      <c r="O60" s="93"/>
    </row>
    <row r="61" spans="2:15" x14ac:dyDescent="0.15">
      <c r="B61" s="35"/>
      <c r="C61" s="93"/>
      <c r="D61" s="35"/>
      <c r="E61" s="93"/>
      <c r="F61" s="35"/>
      <c r="G61" s="93"/>
      <c r="H61" s="35"/>
      <c r="I61" s="93"/>
      <c r="J61" s="35"/>
      <c r="K61" s="93"/>
      <c r="L61" s="35"/>
      <c r="M61" s="93"/>
      <c r="N61" s="35"/>
      <c r="O61" s="93"/>
    </row>
    <row r="62" spans="2:15" x14ac:dyDescent="0.15">
      <c r="B62" s="35"/>
      <c r="C62" s="93"/>
      <c r="D62" s="35"/>
      <c r="E62" s="93"/>
      <c r="F62" s="35"/>
      <c r="G62" s="93"/>
      <c r="H62" s="35"/>
      <c r="I62" s="93"/>
      <c r="J62" s="35"/>
      <c r="K62" s="93"/>
      <c r="L62" s="35"/>
      <c r="M62" s="93"/>
      <c r="N62" s="35"/>
      <c r="O62" s="93"/>
    </row>
    <row r="63" spans="2:15" x14ac:dyDescent="0.15">
      <c r="B63" s="35"/>
      <c r="C63" s="93"/>
      <c r="D63" s="35"/>
      <c r="E63" s="93"/>
      <c r="F63" s="35"/>
      <c r="G63" s="93"/>
      <c r="H63" s="35"/>
      <c r="I63" s="93"/>
      <c r="J63" s="35"/>
      <c r="K63" s="93"/>
      <c r="L63" s="35"/>
      <c r="M63" s="93"/>
      <c r="N63" s="35"/>
      <c r="O63" s="93"/>
    </row>
    <row r="64" spans="2:15" x14ac:dyDescent="0.15">
      <c r="B64" s="35"/>
      <c r="C64" s="93"/>
      <c r="D64" s="35"/>
      <c r="E64" s="93"/>
      <c r="F64" s="35"/>
      <c r="G64" s="93"/>
      <c r="H64" s="35"/>
      <c r="I64" s="93"/>
      <c r="J64" s="35"/>
      <c r="K64" s="93"/>
      <c r="L64" s="35"/>
      <c r="M64" s="93"/>
      <c r="N64" s="35"/>
      <c r="O64" s="93"/>
    </row>
    <row r="65" spans="2:15" x14ac:dyDescent="0.15">
      <c r="B65" s="35"/>
      <c r="C65" s="93"/>
      <c r="D65" s="35"/>
      <c r="E65" s="93"/>
      <c r="F65" s="35"/>
      <c r="G65" s="93"/>
      <c r="H65" s="35"/>
      <c r="I65" s="93"/>
      <c r="J65" s="35"/>
      <c r="K65" s="93"/>
      <c r="L65" s="35"/>
      <c r="M65" s="93"/>
      <c r="N65" s="35"/>
      <c r="O65" s="93"/>
    </row>
    <row r="66" spans="2:15" x14ac:dyDescent="0.15">
      <c r="B66" s="12"/>
      <c r="C66" s="11"/>
      <c r="D66" s="12"/>
      <c r="E66" s="11"/>
      <c r="F66" s="12"/>
      <c r="G66" s="11"/>
      <c r="H66" s="12"/>
      <c r="I66" s="11"/>
      <c r="J66" s="12"/>
      <c r="K66" s="11"/>
      <c r="L66" s="12"/>
      <c r="M66" s="11"/>
      <c r="N66" s="12"/>
      <c r="O66" s="11"/>
    </row>
    <row r="67" spans="2:15" x14ac:dyDescent="0.15">
      <c r="B67" s="12"/>
      <c r="C67" s="11"/>
      <c r="D67" s="12"/>
      <c r="E67" s="11"/>
      <c r="F67" s="12"/>
      <c r="G67" s="11"/>
      <c r="H67" s="12"/>
      <c r="I67" s="11"/>
      <c r="J67" s="12"/>
      <c r="K67" s="11"/>
      <c r="L67" s="12"/>
      <c r="M67" s="11"/>
      <c r="N67" s="12"/>
      <c r="O67" s="11"/>
    </row>
  </sheetData>
  <printOptions horizontalCentered="1"/>
  <pageMargins left="0.7" right="0.7" top="0.75" bottom="0.75" header="0.3" footer="0.3"/>
  <pageSetup orientation="landscape" r:id="rId1"/>
  <ignoredErrors>
    <ignoredError sqref="I7 G7 B7:E7 M7 K7:L7 N7:O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W44"/>
  <sheetViews>
    <sheetView workbookViewId="0">
      <selection activeCell="A27" sqref="A27:XFD28"/>
    </sheetView>
  </sheetViews>
  <sheetFormatPr defaultRowHeight="10.5" x14ac:dyDescent="0.15"/>
  <cols>
    <col min="1" max="1" width="9.33203125" style="8"/>
    <col min="2" max="2" width="13.6640625" style="8" bestFit="1" customWidth="1"/>
    <col min="3" max="3" width="9.33203125" style="8"/>
    <col min="4" max="4" width="13.6640625" style="8" bestFit="1" customWidth="1"/>
    <col min="5" max="5" width="9.33203125" style="8"/>
    <col min="6" max="6" width="13.6640625" style="8" bestFit="1" customWidth="1"/>
    <col min="7" max="7" width="9.33203125" style="8"/>
    <col min="8" max="8" width="13.6640625" style="8" bestFit="1" customWidth="1"/>
    <col min="9" max="9" width="9.33203125" style="8"/>
    <col min="10" max="10" width="13.6640625" style="8" bestFit="1" customWidth="1"/>
    <col min="11" max="11" width="9.33203125" style="8"/>
    <col min="12" max="12" width="13.6640625" style="8" bestFit="1" customWidth="1"/>
    <col min="13" max="16384" width="9.33203125" style="8"/>
  </cols>
  <sheetData>
    <row r="1" spans="1:23" ht="15.75" x14ac:dyDescent="0.25">
      <c r="A1" s="211" t="s">
        <v>145</v>
      </c>
    </row>
    <row r="2" spans="1:23" ht="12.75" x14ac:dyDescent="0.2">
      <c r="A2" s="212" t="s">
        <v>227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</row>
    <row r="3" spans="1:23" ht="12.75" x14ac:dyDescent="0.2">
      <c r="A3" s="212" t="s">
        <v>342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</row>
    <row r="4" spans="1:23" ht="12.75" x14ac:dyDescent="0.2">
      <c r="A4" s="212" t="s">
        <v>228</v>
      </c>
      <c r="B4" s="212"/>
      <c r="C4" s="212"/>
      <c r="D4" s="212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</row>
    <row r="5" spans="1:23" ht="12.75" x14ac:dyDescent="0.2">
      <c r="A5" s="212" t="s">
        <v>229</v>
      </c>
      <c r="B5" s="212"/>
      <c r="C5" s="212"/>
      <c r="D5" s="212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</row>
    <row r="6" spans="1:23" ht="12.75" x14ac:dyDescent="0.2">
      <c r="A6" s="212"/>
      <c r="B6" s="212"/>
      <c r="C6" s="212"/>
      <c r="D6" s="212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</row>
    <row r="7" spans="1:23" ht="15.75" x14ac:dyDescent="0.25">
      <c r="A7" s="211" t="s">
        <v>180</v>
      </c>
      <c r="B7" s="212"/>
      <c r="C7" s="212"/>
      <c r="D7" s="212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</row>
    <row r="8" spans="1:23" ht="12.75" x14ac:dyDescent="0.2">
      <c r="A8" s="212" t="s">
        <v>230</v>
      </c>
      <c r="B8" s="212"/>
      <c r="C8" s="212"/>
      <c r="D8" s="212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</row>
    <row r="9" spans="1:23" ht="11.25" x14ac:dyDescent="0.2">
      <c r="A9" s="213"/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</row>
    <row r="10" spans="1:23" ht="15.75" x14ac:dyDescent="0.25">
      <c r="A10" s="211" t="s">
        <v>146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</row>
    <row r="11" spans="1:23" ht="12.75" x14ac:dyDescent="0.2">
      <c r="A11" s="212" t="s">
        <v>231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13"/>
      <c r="P11" s="213"/>
      <c r="Q11" s="213"/>
      <c r="R11" s="213"/>
      <c r="S11" s="213"/>
      <c r="T11" s="213"/>
      <c r="U11" s="213"/>
      <c r="V11" s="213"/>
      <c r="W11" s="213"/>
    </row>
    <row r="12" spans="1:23" ht="12.75" x14ac:dyDescent="0.2">
      <c r="A12" s="212" t="s">
        <v>232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213"/>
      <c r="P12" s="213"/>
      <c r="Q12" s="213"/>
      <c r="R12" s="213"/>
      <c r="S12" s="213"/>
      <c r="T12" s="213"/>
      <c r="U12" s="213"/>
      <c r="V12" s="213"/>
      <c r="W12" s="213"/>
    </row>
    <row r="13" spans="1:23" ht="12.75" x14ac:dyDescent="0.2">
      <c r="A13" s="212" t="s">
        <v>283</v>
      </c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4" spans="1:23" ht="12.75" x14ac:dyDescent="0.2">
      <c r="A14" s="212" t="s">
        <v>233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213"/>
      <c r="P14" s="213"/>
      <c r="Q14" s="213"/>
      <c r="R14" s="213"/>
      <c r="S14" s="213"/>
      <c r="T14" s="213"/>
      <c r="U14" s="213"/>
      <c r="V14" s="213"/>
      <c r="W14" s="213"/>
    </row>
    <row r="15" spans="1:23" ht="12.75" x14ac:dyDescent="0.2">
      <c r="A15" s="212" t="s">
        <v>234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213"/>
      <c r="P15" s="213"/>
      <c r="Q15" s="213"/>
      <c r="R15" s="213"/>
      <c r="S15" s="213"/>
      <c r="T15" s="213"/>
      <c r="U15" s="213"/>
      <c r="V15" s="213"/>
      <c r="W15" s="213"/>
    </row>
    <row r="16" spans="1:23" ht="12.75" x14ac:dyDescent="0.2">
      <c r="A16" s="212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3"/>
      <c r="O16" s="213"/>
      <c r="P16" s="213"/>
      <c r="Q16" s="213"/>
      <c r="R16" s="213"/>
      <c r="S16" s="213"/>
      <c r="T16" s="213"/>
      <c r="U16" s="213"/>
      <c r="V16" s="213"/>
      <c r="W16" s="213"/>
    </row>
    <row r="17" spans="1:23" ht="15.75" x14ac:dyDescent="0.25">
      <c r="A17" s="211" t="s">
        <v>140</v>
      </c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13"/>
      <c r="P17" s="213"/>
      <c r="Q17" s="213"/>
      <c r="R17" s="213"/>
      <c r="S17" s="213"/>
      <c r="T17" s="213"/>
      <c r="U17" s="213"/>
      <c r="V17" s="213"/>
      <c r="W17" s="213"/>
    </row>
    <row r="18" spans="1:23" ht="12.75" x14ac:dyDescent="0.2">
      <c r="A18" s="212" t="s">
        <v>343</v>
      </c>
      <c r="B18" s="212"/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3"/>
      <c r="O18" s="213"/>
      <c r="P18" s="213"/>
      <c r="Q18" s="213"/>
      <c r="R18" s="213"/>
      <c r="S18" s="213"/>
      <c r="T18" s="213"/>
      <c r="U18" s="213"/>
      <c r="V18" s="213"/>
      <c r="W18" s="213"/>
    </row>
    <row r="19" spans="1:23" ht="12.75" x14ac:dyDescent="0.2">
      <c r="A19" s="212" t="s">
        <v>235</v>
      </c>
      <c r="B19" s="212"/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3"/>
      <c r="O19" s="213"/>
      <c r="P19" s="213"/>
      <c r="Q19" s="213"/>
      <c r="R19" s="213"/>
      <c r="S19" s="213"/>
      <c r="T19" s="213"/>
      <c r="U19" s="213"/>
      <c r="V19" s="213"/>
      <c r="W19" s="213"/>
    </row>
    <row r="20" spans="1:23" ht="12.75" x14ac:dyDescent="0.2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3"/>
      <c r="O20" s="213"/>
      <c r="P20" s="213"/>
      <c r="Q20" s="213"/>
      <c r="R20" s="213"/>
      <c r="S20" s="213"/>
      <c r="T20" s="213"/>
      <c r="U20" s="213"/>
      <c r="V20" s="213"/>
      <c r="W20" s="213"/>
    </row>
    <row r="21" spans="1:23" ht="15.75" x14ac:dyDescent="0.25">
      <c r="A21" s="211" t="s">
        <v>181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3"/>
      <c r="O21" s="213"/>
      <c r="P21" s="213"/>
      <c r="Q21" s="213"/>
      <c r="R21" s="213"/>
      <c r="S21" s="213"/>
      <c r="T21" s="213"/>
      <c r="U21" s="213"/>
      <c r="V21" s="213"/>
      <c r="W21" s="213"/>
    </row>
    <row r="22" spans="1:23" ht="12.75" x14ac:dyDescent="0.2">
      <c r="A22" s="212" t="s">
        <v>236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/>
      <c r="O22" s="213"/>
      <c r="P22" s="213"/>
      <c r="Q22" s="213"/>
      <c r="R22" s="213"/>
      <c r="S22" s="213"/>
      <c r="T22" s="213"/>
      <c r="U22" s="213"/>
      <c r="V22" s="213"/>
      <c r="W22" s="213"/>
    </row>
    <row r="23" spans="1:23" ht="12.75" x14ac:dyDescent="0.2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/>
      <c r="O23" s="213"/>
      <c r="P23" s="213"/>
      <c r="Q23" s="213"/>
      <c r="R23" s="213"/>
      <c r="S23" s="213"/>
      <c r="T23" s="213"/>
      <c r="U23" s="213"/>
      <c r="V23" s="213"/>
      <c r="W23" s="213"/>
    </row>
    <row r="24" spans="1:23" ht="15.75" x14ac:dyDescent="0.25">
      <c r="A24" s="211" t="s">
        <v>182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/>
      <c r="O24" s="213"/>
      <c r="P24" s="213"/>
      <c r="Q24" s="213"/>
      <c r="R24" s="213"/>
      <c r="S24" s="213"/>
      <c r="T24" s="213"/>
      <c r="U24" s="213"/>
      <c r="V24" s="213"/>
      <c r="W24" s="213"/>
    </row>
    <row r="25" spans="1:23" ht="12.75" x14ac:dyDescent="0.2">
      <c r="A25" s="212" t="s">
        <v>344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3"/>
      <c r="O25" s="213"/>
      <c r="P25" s="213"/>
      <c r="Q25" s="213"/>
      <c r="R25" s="213"/>
      <c r="S25" s="213"/>
      <c r="T25" s="213"/>
      <c r="U25" s="213"/>
      <c r="V25" s="213"/>
      <c r="W25" s="213"/>
    </row>
    <row r="26" spans="1:23" ht="12.75" x14ac:dyDescent="0.2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3"/>
      <c r="O26" s="213"/>
      <c r="P26" s="213"/>
      <c r="Q26" s="213"/>
      <c r="R26" s="213"/>
      <c r="S26" s="213"/>
      <c r="T26" s="213"/>
      <c r="U26" s="213"/>
      <c r="V26" s="213"/>
      <c r="W26" s="213"/>
    </row>
    <row r="27" spans="1:23" ht="12.75" x14ac:dyDescent="0.2">
      <c r="A27" s="212"/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3"/>
      <c r="O27" s="213"/>
      <c r="P27" s="213"/>
      <c r="Q27" s="213"/>
      <c r="R27" s="213"/>
      <c r="S27" s="213"/>
      <c r="T27" s="213"/>
      <c r="U27" s="213"/>
      <c r="V27" s="213"/>
      <c r="W27" s="213"/>
    </row>
    <row r="28" spans="1:23" ht="15.75" x14ac:dyDescent="0.25">
      <c r="A28" s="211" t="s">
        <v>237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3"/>
      <c r="O28" s="213"/>
      <c r="P28" s="213"/>
      <c r="Q28" s="213"/>
      <c r="R28" s="213"/>
      <c r="S28" s="213"/>
      <c r="T28" s="213"/>
      <c r="U28" s="213"/>
      <c r="V28" s="213"/>
      <c r="W28" s="213"/>
    </row>
    <row r="29" spans="1:23" ht="12.75" x14ac:dyDescent="0.2">
      <c r="A29" s="212" t="s">
        <v>238</v>
      </c>
    </row>
    <row r="30" spans="1:23" ht="12.75" x14ac:dyDescent="0.2">
      <c r="A30" s="212" t="s">
        <v>206</v>
      </c>
    </row>
    <row r="31" spans="1:23" ht="12.75" x14ac:dyDescent="0.2">
      <c r="A31" s="212" t="s">
        <v>239</v>
      </c>
    </row>
    <row r="32" spans="1:23" ht="12.75" x14ac:dyDescent="0.2">
      <c r="A32" s="212" t="s">
        <v>345</v>
      </c>
    </row>
    <row r="33" spans="1:13" ht="12.75" x14ac:dyDescent="0.2">
      <c r="A33" s="212" t="s">
        <v>240</v>
      </c>
    </row>
    <row r="34" spans="1:13" x14ac:dyDescent="0.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x14ac:dyDescent="0.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x14ac:dyDescent="0.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3" x14ac:dyDescent="0.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1:13" x14ac:dyDescent="0.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x14ac:dyDescent="0.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13" x14ac:dyDescent="0.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1:13" x14ac:dyDescent="0.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1:13" x14ac:dyDescent="0.15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01"/>
    </row>
    <row r="43" spans="1:13" x14ac:dyDescent="0.15"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01"/>
    </row>
    <row r="44" spans="1:13" x14ac:dyDescent="0.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</sheetData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26</vt:i4>
      </vt:variant>
    </vt:vector>
  </HeadingPairs>
  <TitlesOfParts>
    <vt:vector size="36" baseType="lpstr">
      <vt:lpstr>Condensed BS</vt:lpstr>
      <vt:lpstr>Condensed IS</vt:lpstr>
      <vt:lpstr>Miscellaneous Expense</vt:lpstr>
      <vt:lpstr>Interest Bearing Assets</vt:lpstr>
      <vt:lpstr>Debt Sources</vt:lpstr>
      <vt:lpstr>Loan Amortization Schedule</vt:lpstr>
      <vt:lpstr>Donations and Events</vt:lpstr>
      <vt:lpstr>CF Summary </vt:lpstr>
      <vt:lpstr>2019 Budget Assumptions</vt:lpstr>
      <vt:lpstr>2019-2023 Updated Assumptions</vt:lpstr>
      <vt:lpstr>'Loan Amortization Schedule'!Beg_Bal</vt:lpstr>
      <vt:lpstr>Cum_Int</vt:lpstr>
      <vt:lpstr>Data</vt:lpstr>
      <vt:lpstr>'Loan Amortization Schedule'!End_Bal</vt:lpstr>
      <vt:lpstr>'Loan Amortization Schedule'!Extra_Pay</vt:lpstr>
      <vt:lpstr>Full_Print</vt:lpstr>
      <vt:lpstr>'Loan Amortization Schedule'!Int</vt:lpstr>
      <vt:lpstr>'Loan Amortization Schedule'!Interest_Rate</vt:lpstr>
      <vt:lpstr>'Loan Amortization Schedule'!Loan_Amount</vt:lpstr>
      <vt:lpstr>'Loan Amortization Schedule'!Loan_Start</vt:lpstr>
      <vt:lpstr>'Loan Amortization Schedule'!Loan_Years</vt:lpstr>
      <vt:lpstr>'Loan Amortization Schedule'!Num_Pmt_Per_Year</vt:lpstr>
      <vt:lpstr>Pay_Date</vt:lpstr>
      <vt:lpstr>'Loan Amortization Schedule'!Pay_Num</vt:lpstr>
      <vt:lpstr>'Loan Amortization Schedule'!Princ</vt:lpstr>
      <vt:lpstr>'CF Summary '!Print_Area</vt:lpstr>
      <vt:lpstr>'Condensed BS'!Print_Area</vt:lpstr>
      <vt:lpstr>'Condensed IS'!Print_Area</vt:lpstr>
      <vt:lpstr>'Interest Bearing Assets'!Print_Area</vt:lpstr>
      <vt:lpstr>'Loan Amortization Schedule'!Print_Titles</vt:lpstr>
      <vt:lpstr>'Loan Amortization Schedule'!Sched_Pay</vt:lpstr>
      <vt:lpstr>'Loan Amortization Schedule'!Scheduled_Extra_Payments</vt:lpstr>
      <vt:lpstr>Scheduled_Interest_Rate</vt:lpstr>
      <vt:lpstr>'Loan Amortization Schedule'!Scheduled_Monthly_Payment</vt:lpstr>
      <vt:lpstr>Total_Interest</vt:lpstr>
      <vt:lpstr>'Loan Amortization Schedule'!Total_Pay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Wall</dc:creator>
  <cp:lastModifiedBy>Chuck Wall</cp:lastModifiedBy>
  <cp:lastPrinted>2019-02-14T17:01:27Z</cp:lastPrinted>
  <dcterms:created xsi:type="dcterms:W3CDTF">2015-05-07T20:20:59Z</dcterms:created>
  <dcterms:modified xsi:type="dcterms:W3CDTF">2019-09-20T16:37:21Z</dcterms:modified>
</cp:coreProperties>
</file>