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NeighborWorks\Strength Matters CFO Conveying\"/>
    </mc:Choice>
  </mc:AlternateContent>
  <bookViews>
    <workbookView xWindow="120" yWindow="60" windowWidth="15480" windowHeight="11535" firstSheet="12" activeTab="12"/>
  </bookViews>
  <sheets>
    <sheet name="Projected Cash Flow Rev Aug13" sheetId="14" r:id="rId1"/>
    <sheet name="Projected Cash Flow" sheetId="13" r:id="rId2"/>
    <sheet name="Budget Summary" sheetId="1" state="hidden" r:id="rId3"/>
    <sheet name="Cash Flow" sheetId="2" state="hidden" r:id="rId4"/>
    <sheet name="REACH" sheetId="3" state="hidden" r:id="rId5"/>
    <sheet name="Community Technical Advisory " sheetId="4" state="hidden" r:id="rId6"/>
    <sheet name="Renaissance Guild" sheetId="5" state="hidden" r:id="rId7"/>
    <sheet name="CDFI" sheetId="6" state="hidden" r:id="rId8"/>
    <sheet name="MS Loan Fund" sheetId="7" state="hidden" r:id="rId9"/>
    <sheet name="Site Acceleration Fund" sheetId="8" state="hidden" r:id="rId10"/>
    <sheet name="Wachovia Grant" sheetId="9" state="hidden" r:id="rId11"/>
    <sheet name="G&amp;A" sheetId="12" state="hidden" r:id="rId12"/>
    <sheet name="Summary CF Schedule - New" sheetId="15" r:id="rId13"/>
  </sheets>
  <definedNames>
    <definedName name="_xlnm.Print_Area" localSheetId="1">'Projected Cash Flow'!$A$1:$AO$123</definedName>
    <definedName name="_xlnm.Print_Area" localSheetId="0">'Projected Cash Flow Rev Aug13'!$A$1:$AX$131</definedName>
    <definedName name="_xlnm.Print_Area" localSheetId="12">'Summary CF Schedule - New'!$A$1:$T$61</definedName>
  </definedNames>
  <calcPr calcId="162913"/>
</workbook>
</file>

<file path=xl/calcChain.xml><?xml version="1.0" encoding="utf-8"?>
<calcChain xmlns="http://schemas.openxmlformats.org/spreadsheetml/2006/main">
  <c r="U5" i="15" l="1"/>
  <c r="T5" i="15"/>
  <c r="S5" i="15"/>
  <c r="R5" i="15"/>
  <c r="Q5" i="15"/>
  <c r="U57" i="15"/>
  <c r="U28" i="15"/>
  <c r="U43" i="15" s="1"/>
  <c r="U59" i="15" s="1"/>
  <c r="U26" i="15"/>
  <c r="U10" i="15"/>
  <c r="U8" i="15"/>
  <c r="U9" i="15" s="1"/>
  <c r="U7" i="15"/>
  <c r="U12" i="15" s="1"/>
  <c r="U6" i="15"/>
  <c r="P5" i="15"/>
  <c r="O5" i="15"/>
  <c r="O8" i="15"/>
  <c r="N5" i="15"/>
  <c r="M5" i="15"/>
  <c r="L5" i="15"/>
  <c r="L8" i="15"/>
  <c r="K15" i="15"/>
  <c r="U61" i="15" l="1"/>
  <c r="U63" i="15" s="1"/>
  <c r="M10" i="15"/>
  <c r="N10" i="15" s="1"/>
  <c r="O10" i="15" s="1"/>
  <c r="P10" i="15" s="1"/>
  <c r="Q10" i="15" s="1"/>
  <c r="R10" i="15" s="1"/>
  <c r="S10" i="15" s="1"/>
  <c r="T10" i="15" s="1"/>
  <c r="L10" i="15"/>
  <c r="K36" i="15" l="1"/>
  <c r="I15" i="15"/>
  <c r="I36" i="15"/>
  <c r="K5" i="15"/>
  <c r="J16" i="15"/>
  <c r="T57" i="15" l="1"/>
  <c r="T26" i="15"/>
  <c r="T6" i="15"/>
  <c r="S57" i="15"/>
  <c r="S26" i="15"/>
  <c r="S6" i="15"/>
  <c r="R57" i="15" l="1"/>
  <c r="R26" i="15"/>
  <c r="R6" i="15"/>
  <c r="M8" i="15"/>
  <c r="N8" i="15" s="1"/>
  <c r="L54" i="15"/>
  <c r="J8" i="15"/>
  <c r="H42" i="15"/>
  <c r="H16" i="15"/>
  <c r="H17" i="15"/>
  <c r="H18" i="15" l="1"/>
  <c r="I10" i="15"/>
  <c r="G17" i="15" l="1"/>
  <c r="H8" i="15"/>
  <c r="Q57" i="15" l="1"/>
  <c r="Q26" i="15"/>
  <c r="Q6" i="15"/>
  <c r="I19" i="15" l="1"/>
  <c r="O19" i="15"/>
  <c r="L19" i="15"/>
  <c r="F19" i="15"/>
  <c r="F31" i="15" l="1"/>
  <c r="E42" i="15"/>
  <c r="E31" i="15"/>
  <c r="F18" i="15"/>
  <c r="E38" i="15"/>
  <c r="E25" i="15"/>
  <c r="E20" i="15"/>
  <c r="E18" i="15"/>
  <c r="H19" i="15"/>
  <c r="F11" i="15"/>
  <c r="G10" i="15"/>
  <c r="F10" i="15"/>
  <c r="F54" i="15"/>
  <c r="F53" i="15"/>
  <c r="F52" i="15"/>
  <c r="G8" i="15" l="1"/>
  <c r="P57" i="15" l="1"/>
  <c r="P26" i="15"/>
  <c r="D15" i="15"/>
  <c r="C42" i="15"/>
  <c r="C19" i="15"/>
  <c r="C16" i="15" l="1"/>
  <c r="C36" i="15"/>
  <c r="C5" i="15" l="1"/>
  <c r="C9" i="15"/>
  <c r="C11" i="15" l="1"/>
  <c r="C10" i="15"/>
  <c r="C12" i="15"/>
  <c r="C26" i="15"/>
  <c r="C43" i="15"/>
  <c r="C57" i="15"/>
  <c r="O57" i="15"/>
  <c r="O26" i="15"/>
  <c r="C59" i="15" l="1"/>
  <c r="C61" i="15" s="1"/>
  <c r="K30" i="15" l="1"/>
  <c r="F6" i="15"/>
  <c r="G6" i="15" s="1"/>
  <c r="H6" i="15" s="1"/>
  <c r="I6" i="15" s="1"/>
  <c r="J6" i="15" s="1"/>
  <c r="K6" i="15" s="1"/>
  <c r="L6" i="15" s="1"/>
  <c r="M6" i="15" s="1"/>
  <c r="N6" i="15" s="1"/>
  <c r="O6" i="15" s="1"/>
  <c r="P6" i="15" s="1"/>
  <c r="E10" i="15" l="1"/>
  <c r="E11" i="15"/>
  <c r="D42" i="15"/>
  <c r="D25" i="15"/>
  <c r="D36" i="15"/>
  <c r="D30" i="15" l="1"/>
  <c r="D20" i="15"/>
  <c r="D11" i="15" l="1"/>
  <c r="D10" i="15"/>
  <c r="N57" i="15"/>
  <c r="N26" i="15"/>
  <c r="M57" i="15"/>
  <c r="M26" i="15"/>
  <c r="L57" i="15"/>
  <c r="L26" i="15"/>
  <c r="K57" i="15" l="1"/>
  <c r="K26" i="15"/>
  <c r="D43" i="15"/>
  <c r="J57" i="15"/>
  <c r="J26" i="15"/>
  <c r="I57" i="15" l="1"/>
  <c r="I26" i="15"/>
  <c r="H57" i="15" l="1"/>
  <c r="H26" i="15"/>
  <c r="G57" i="15"/>
  <c r="G26" i="15"/>
  <c r="F57" i="15" l="1"/>
  <c r="F26" i="15"/>
  <c r="E57" i="15" l="1"/>
  <c r="E26" i="15"/>
  <c r="E43" i="15" l="1"/>
  <c r="E59" i="15" s="1"/>
  <c r="F43" i="15" l="1"/>
  <c r="F59" i="15" s="1"/>
  <c r="H28" i="15" l="1"/>
  <c r="G43" i="15"/>
  <c r="G59" i="15" s="1"/>
  <c r="H43" i="15" l="1"/>
  <c r="H59" i="15" s="1"/>
  <c r="J28" i="15" l="1"/>
  <c r="I43" i="15"/>
  <c r="I59" i="15" s="1"/>
  <c r="D57" i="15"/>
  <c r="D26" i="15"/>
  <c r="K28" i="15" l="1"/>
  <c r="J43" i="15"/>
  <c r="J59" i="15" s="1"/>
  <c r="D59" i="15"/>
  <c r="K43" i="15" l="1"/>
  <c r="K59" i="15" s="1"/>
  <c r="L28" i="15"/>
  <c r="L43" i="15" l="1"/>
  <c r="L59" i="15" s="1"/>
  <c r="M28" i="15"/>
  <c r="M43" i="15" l="1"/>
  <c r="M59" i="15" s="1"/>
  <c r="N28" i="15"/>
  <c r="N43" i="15" l="1"/>
  <c r="N59" i="15" s="1"/>
  <c r="O28" i="15"/>
  <c r="D9" i="15"/>
  <c r="O43" i="15" l="1"/>
  <c r="O59" i="15" s="1"/>
  <c r="P28" i="15"/>
  <c r="F8" i="15"/>
  <c r="P43" i="15" l="1"/>
  <c r="P59" i="15" s="1"/>
  <c r="Q28" i="15"/>
  <c r="G9" i="15"/>
  <c r="F9" i="15"/>
  <c r="I9" i="15"/>
  <c r="R28" i="15" l="1"/>
  <c r="Q43" i="15"/>
  <c r="Q59" i="15" s="1"/>
  <c r="H9" i="15"/>
  <c r="R43" i="15" l="1"/>
  <c r="R59" i="15" s="1"/>
  <c r="S28" i="15"/>
  <c r="K8" i="15"/>
  <c r="S43" i="15" l="1"/>
  <c r="S59" i="15" s="1"/>
  <c r="T28" i="15"/>
  <c r="T43" i="15" s="1"/>
  <c r="T59" i="15" s="1"/>
  <c r="L9" i="15"/>
  <c r="K9" i="15"/>
  <c r="J9" i="15"/>
  <c r="M9" i="15" l="1"/>
  <c r="P8" i="15"/>
  <c r="Q8" i="15" s="1"/>
  <c r="Q9" i="15" l="1"/>
  <c r="R8" i="15"/>
  <c r="P9" i="15"/>
  <c r="O9" i="15"/>
  <c r="N9" i="15"/>
  <c r="S8" i="15" l="1"/>
  <c r="R9" i="15"/>
  <c r="E7" i="15"/>
  <c r="F7" i="15" s="1"/>
  <c r="S9" i="15" l="1"/>
  <c r="T8" i="15"/>
  <c r="T9" i="15" s="1"/>
  <c r="G7" i="15"/>
  <c r="I7" i="15" s="1"/>
  <c r="L7" i="15" l="1"/>
  <c r="M7" i="15" s="1"/>
  <c r="N7" i="15" s="1"/>
  <c r="O7" i="15" s="1"/>
  <c r="P7" i="15" s="1"/>
  <c r="D12" i="15"/>
  <c r="P12" i="15" l="1"/>
  <c r="P61" i="15" s="1"/>
  <c r="Q7" i="15"/>
  <c r="D61" i="15"/>
  <c r="C63" i="15"/>
  <c r="E12" i="15"/>
  <c r="E61" i="15" s="1"/>
  <c r="Q12" i="15" l="1"/>
  <c r="Q61" i="15" s="1"/>
  <c r="R7" i="15"/>
  <c r="D63" i="15"/>
  <c r="F12" i="15"/>
  <c r="F61" i="15" s="1"/>
  <c r="P63" i="15" l="1"/>
  <c r="S7" i="15"/>
  <c r="R12" i="15"/>
  <c r="R61" i="15" s="1"/>
  <c r="G12" i="15"/>
  <c r="G61" i="15" s="1"/>
  <c r="E63" i="15"/>
  <c r="Q63" i="15" l="1"/>
  <c r="T7" i="15"/>
  <c r="T12" i="15" s="1"/>
  <c r="T61" i="15" s="1"/>
  <c r="T63" i="15" s="1"/>
  <c r="S12" i="15"/>
  <c r="S61" i="15" s="1"/>
  <c r="H12" i="15"/>
  <c r="H61" i="15" s="1"/>
  <c r="F63" i="15"/>
  <c r="AU119" i="14"/>
  <c r="AS118" i="14"/>
  <c r="S63" i="15" l="1"/>
  <c r="R63" i="15"/>
  <c r="G63" i="15"/>
  <c r="I12" i="15"/>
  <c r="I61" i="15" s="1"/>
  <c r="AX117" i="14"/>
  <c r="AX119" i="14"/>
  <c r="AX118" i="14"/>
  <c r="AX109" i="14"/>
  <c r="AX85" i="14"/>
  <c r="AX55" i="14"/>
  <c r="AX31" i="14"/>
  <c r="H63" i="15" l="1"/>
  <c r="J12" i="15"/>
  <c r="J61" i="15" s="1"/>
  <c r="AU118" i="14"/>
  <c r="AU117" i="14"/>
  <c r="AT119" i="14"/>
  <c r="AT118" i="14"/>
  <c r="AT117" i="14"/>
  <c r="AQ119" i="14"/>
  <c r="AQ118" i="14"/>
  <c r="I63" i="15" l="1"/>
  <c r="K12" i="15"/>
  <c r="K61" i="15" s="1"/>
  <c r="AQ42" i="14"/>
  <c r="L12" i="15" l="1"/>
  <c r="L61" i="15" s="1"/>
  <c r="J63" i="15"/>
  <c r="AW117" i="14"/>
  <c r="AW119" i="14"/>
  <c r="AW118" i="14"/>
  <c r="AW109" i="14"/>
  <c r="AW85" i="14"/>
  <c r="AW55" i="14"/>
  <c r="AW31" i="14"/>
  <c r="AO117" i="14"/>
  <c r="AO39" i="14"/>
  <c r="K63" i="15" l="1"/>
  <c r="M12" i="15"/>
  <c r="M61" i="15" s="1"/>
  <c r="AO20" i="14"/>
  <c r="AP20" i="14" s="1"/>
  <c r="AQ20" i="14" s="1"/>
  <c r="AR20" i="14" s="1"/>
  <c r="AS20" i="14" s="1"/>
  <c r="AT20" i="14" s="1"/>
  <c r="AU20" i="14" s="1"/>
  <c r="AV20" i="14" s="1"/>
  <c r="AW20" i="14" s="1"/>
  <c r="AX20" i="14" s="1"/>
  <c r="O12" i="15" l="1"/>
  <c r="O61" i="15" s="1"/>
  <c r="O63" i="15" s="1"/>
  <c r="N12" i="15"/>
  <c r="N61" i="15" s="1"/>
  <c r="L63" i="15"/>
  <c r="AN103" i="14"/>
  <c r="AM56" i="14"/>
  <c r="N63" i="15" l="1"/>
  <c r="M63" i="15"/>
  <c r="AM22" i="14"/>
  <c r="AN22" i="14" s="1"/>
  <c r="AM24" i="14"/>
  <c r="AM25" i="14"/>
  <c r="AN30" i="14"/>
  <c r="AM31" i="14"/>
  <c r="AN31" i="14"/>
  <c r="AO31" i="14"/>
  <c r="AQ31" i="14"/>
  <c r="AR31" i="14"/>
  <c r="AT31" i="14"/>
  <c r="AU31" i="14"/>
  <c r="AO33" i="14"/>
  <c r="AP33" i="14" s="1"/>
  <c r="AR33" i="14" s="1"/>
  <c r="AS33" i="14" s="1"/>
  <c r="AT33" i="14" s="1"/>
  <c r="AU33" i="14" s="1"/>
  <c r="AM40" i="14"/>
  <c r="AM43" i="14" s="1"/>
  <c r="AP50" i="14"/>
  <c r="AS50" i="14" s="1"/>
  <c r="AT50" i="14" s="1"/>
  <c r="AU50" i="14" s="1"/>
  <c r="AM53" i="14"/>
  <c r="AN53" i="14" s="1"/>
  <c r="AO53" i="14" s="1"/>
  <c r="AP53" i="14" s="1"/>
  <c r="AQ53" i="14" s="1"/>
  <c r="AR53" i="14" s="1"/>
  <c r="AS53" i="14" s="1"/>
  <c r="AT53" i="14" s="1"/>
  <c r="AU53" i="14" s="1"/>
  <c r="AM55" i="14"/>
  <c r="AN55" i="14"/>
  <c r="AO55" i="14"/>
  <c r="AS55" i="14"/>
  <c r="AT55" i="14"/>
  <c r="AU55" i="14"/>
  <c r="AO58" i="14"/>
  <c r="AP58" i="14" s="1"/>
  <c r="AQ58" i="14" s="1"/>
  <c r="AS58" i="14" s="1"/>
  <c r="AT58" i="14" s="1"/>
  <c r="AU58" i="14" s="1"/>
  <c r="AP59" i="14"/>
  <c r="AS59" i="14" s="1"/>
  <c r="AT59" i="14" s="1"/>
  <c r="AU59" i="14" s="1"/>
  <c r="AM73" i="14"/>
  <c r="AO73" i="14" s="1"/>
  <c r="AQ73" i="14" s="1"/>
  <c r="AS73" i="14" s="1"/>
  <c r="AU73" i="14" s="1"/>
  <c r="AW73" i="14" s="1"/>
  <c r="AM85" i="14"/>
  <c r="AN85" i="14"/>
  <c r="AO85" i="14"/>
  <c r="AP85" i="14"/>
  <c r="AQ85" i="14"/>
  <c r="AR85" i="14"/>
  <c r="AS85" i="14"/>
  <c r="AT85" i="14"/>
  <c r="AU85" i="14"/>
  <c r="AT102" i="14"/>
  <c r="AU102" i="14"/>
  <c r="AM103" i="14"/>
  <c r="AP103" i="14"/>
  <c r="AQ103" i="14"/>
  <c r="AU103" i="14"/>
  <c r="AM109" i="14"/>
  <c r="AN109" i="14"/>
  <c r="AO109" i="14"/>
  <c r="AP109" i="14"/>
  <c r="AQ109" i="14"/>
  <c r="AR109" i="14"/>
  <c r="AS109" i="14"/>
  <c r="AT109" i="14"/>
  <c r="AU109" i="14"/>
  <c r="AN26" i="14"/>
  <c r="AO25" i="14"/>
  <c r="AM115" i="14"/>
  <c r="AN115" i="14"/>
  <c r="AO115" i="14"/>
  <c r="AP115" i="14"/>
  <c r="AR115" i="14"/>
  <c r="AM118" i="14"/>
  <c r="AN118" i="14"/>
  <c r="AO118" i="14"/>
  <c r="AP118" i="14"/>
  <c r="AO119" i="14"/>
  <c r="AP119" i="14"/>
  <c r="AP136" i="14"/>
  <c r="AQ136" i="14" s="1"/>
  <c r="AR136" i="14" s="1"/>
  <c r="AS136" i="14" s="1"/>
  <c r="AT136" i="14" s="1"/>
  <c r="AU136" i="14" s="1"/>
  <c r="AN138" i="14"/>
  <c r="AN117" i="14" s="1"/>
  <c r="AP138" i="14"/>
  <c r="AP117" i="14" s="1"/>
  <c r="AQ138" i="14"/>
  <c r="AO22" i="14" l="1"/>
  <c r="AP22" i="14" s="1"/>
  <c r="AQ22" i="14" s="1"/>
  <c r="AR22" i="14" s="1"/>
  <c r="AS22" i="14" s="1"/>
  <c r="AT22" i="14" s="1"/>
  <c r="AU22" i="14" s="1"/>
  <c r="AO30" i="14"/>
  <c r="AP30" i="14" s="1"/>
  <c r="AQ30" i="14" s="1"/>
  <c r="AS30" i="14" s="1"/>
  <c r="AT30" i="14" s="1"/>
  <c r="AU30" i="14" s="1"/>
  <c r="AM26" i="14"/>
  <c r="AQ25" i="14"/>
  <c r="AP24" i="14"/>
  <c r="AS24" i="14" s="1"/>
  <c r="AT24" i="14" s="1"/>
  <c r="AU24" i="14" s="1"/>
  <c r="AP40" i="14"/>
  <c r="AN43" i="14"/>
  <c r="AP26" i="14" l="1"/>
  <c r="AQ114" i="14"/>
  <c r="AR26" i="14" s="1"/>
  <c r="AO26" i="14"/>
  <c r="AQ26" i="14"/>
  <c r="AP43" i="14"/>
  <c r="AV31" i="14"/>
  <c r="AV119" i="14"/>
  <c r="AS114" i="14" l="1"/>
  <c r="AV117" i="14"/>
  <c r="AV118" i="14"/>
  <c r="AV109" i="14"/>
  <c r="AV85" i="14"/>
  <c r="AV55" i="14"/>
  <c r="AK42" i="14"/>
  <c r="AV30" i="14"/>
  <c r="AL118" i="14"/>
  <c r="AK25" i="14"/>
  <c r="AL40" i="14"/>
  <c r="AL39" i="14"/>
  <c r="AK18" i="14"/>
  <c r="AK29" i="14"/>
  <c r="AL29" i="14" s="1"/>
  <c r="AM29" i="14" s="1"/>
  <c r="AN29" i="14" s="1"/>
  <c r="AO29" i="14" s="1"/>
  <c r="AP29" i="14" s="1"/>
  <c r="AQ29" i="14" s="1"/>
  <c r="AS29" i="14" s="1"/>
  <c r="AT29" i="14" s="1"/>
  <c r="AU29" i="14" s="1"/>
  <c r="AD28" i="14"/>
  <c r="K28" i="14"/>
  <c r="L28" i="14" s="1"/>
  <c r="R108" i="14"/>
  <c r="AK20" i="14"/>
  <c r="AK24" i="14"/>
  <c r="AK39" i="14"/>
  <c r="AK32" i="14"/>
  <c r="AK33" i="14"/>
  <c r="AK41" i="14"/>
  <c r="AK40" i="14"/>
  <c r="AK55" i="14"/>
  <c r="AK85" i="14"/>
  <c r="AK103" i="14"/>
  <c r="AK109" i="14"/>
  <c r="AK115" i="14"/>
  <c r="AK140" i="14"/>
  <c r="AK142" i="14"/>
  <c r="AL103" i="14"/>
  <c r="AL142" i="14"/>
  <c r="AL140" i="14"/>
  <c r="AL60" i="14"/>
  <c r="AL55" i="14"/>
  <c r="AW30" i="14" l="1"/>
  <c r="AX30" i="14" s="1"/>
  <c r="AS26" i="14"/>
  <c r="AM60" i="14"/>
  <c r="AO60" i="14" s="1"/>
  <c r="AP60" i="14" s="1"/>
  <c r="AQ60" i="14" s="1"/>
  <c r="AR60" i="14" s="1"/>
  <c r="AS60" i="14" s="1"/>
  <c r="AT60" i="14" s="1"/>
  <c r="AU60" i="14" s="1"/>
  <c r="AV60" i="14" s="1"/>
  <c r="AW60" i="14" s="1"/>
  <c r="AX60" i="14" s="1"/>
  <c r="AT114" i="14"/>
  <c r="AT25" i="14"/>
  <c r="AT26" i="14" s="1"/>
  <c r="AV29" i="14"/>
  <c r="AW29" i="14" s="1"/>
  <c r="AX29" i="14" s="1"/>
  <c r="AK26" i="14"/>
  <c r="AL38" i="14"/>
  <c r="AU114" i="14" l="1"/>
  <c r="AU25" i="14"/>
  <c r="AU26" i="14" s="1"/>
  <c r="AL20" i="14"/>
  <c r="AJ59" i="14"/>
  <c r="AJ117" i="14"/>
  <c r="AI117" i="14"/>
  <c r="AE138" i="14"/>
  <c r="AJ39" i="14"/>
  <c r="AJ40" i="14"/>
  <c r="AI26" i="14" l="1"/>
  <c r="AJ26" i="14"/>
  <c r="AB137" i="14"/>
  <c r="AC137" i="14" s="1"/>
  <c r="AD137" i="14" s="1"/>
  <c r="AE137" i="14" s="1"/>
  <c r="AF137" i="14" s="1"/>
  <c r="AG137" i="14" s="1"/>
  <c r="AH137" i="14" s="1"/>
  <c r="AI137" i="14" s="1"/>
  <c r="AL137" i="14" s="1"/>
  <c r="AM137" i="14" s="1"/>
  <c r="AP137" i="14" s="1"/>
  <c r="AQ137" i="14" s="1"/>
  <c r="AR137" i="14" s="1"/>
  <c r="AS137" i="14" s="1"/>
  <c r="AT137" i="14" s="1"/>
  <c r="AU137" i="14" s="1"/>
  <c r="AI136" i="14"/>
  <c r="AJ136" i="14" s="1"/>
  <c r="AC136" i="14"/>
  <c r="AD136" i="14" s="1"/>
  <c r="AE136" i="14" s="1"/>
  <c r="AF136" i="14" s="1"/>
  <c r="AG136" i="14" s="1"/>
  <c r="AH136" i="14" s="1"/>
  <c r="AA136" i="14"/>
  <c r="Z136" i="14"/>
  <c r="M134" i="14"/>
  <c r="J124" i="14"/>
  <c r="J123" i="14"/>
  <c r="J122" i="14"/>
  <c r="H121" i="14"/>
  <c r="A121" i="14"/>
  <c r="J120" i="14"/>
  <c r="AE119" i="14"/>
  <c r="AH117" i="14"/>
  <c r="AG117" i="14"/>
  <c r="AF117" i="14"/>
  <c r="AE117" i="14"/>
  <c r="AD117" i="14"/>
  <c r="AC117" i="14"/>
  <c r="AB117" i="14"/>
  <c r="AA117" i="14"/>
  <c r="Z117" i="14"/>
  <c r="Y117" i="14"/>
  <c r="W117" i="14"/>
  <c r="AL115" i="14"/>
  <c r="AJ115" i="14"/>
  <c r="AG115" i="14"/>
  <c r="AF115" i="14"/>
  <c r="AE115" i="14"/>
  <c r="M115" i="14"/>
  <c r="N115" i="14" s="1"/>
  <c r="O115" i="14" s="1"/>
  <c r="AL25" i="14"/>
  <c r="AF114" i="14"/>
  <c r="AG114" i="14" s="1"/>
  <c r="AH114" i="14" s="1"/>
  <c r="AA114" i="14"/>
  <c r="AB114" i="14" s="1"/>
  <c r="S114" i="14"/>
  <c r="S113" i="14"/>
  <c r="L112" i="14"/>
  <c r="I112" i="14"/>
  <c r="H112" i="14"/>
  <c r="AF111" i="14"/>
  <c r="AB111" i="14"/>
  <c r="X111" i="14"/>
  <c r="S111" i="14"/>
  <c r="X110" i="14"/>
  <c r="S110" i="14"/>
  <c r="AL109" i="14"/>
  <c r="AJ109" i="14"/>
  <c r="AI109" i="14"/>
  <c r="AH109" i="14"/>
  <c r="AG109" i="14"/>
  <c r="AF109" i="14"/>
  <c r="AE109" i="14"/>
  <c r="AD109" i="14"/>
  <c r="AC109" i="14"/>
  <c r="AB109" i="14"/>
  <c r="AA109" i="14"/>
  <c r="Z109" i="14"/>
  <c r="Y109" i="14"/>
  <c r="X109" i="14"/>
  <c r="U109" i="14"/>
  <c r="H109" i="14"/>
  <c r="AD108" i="14"/>
  <c r="T108" i="14"/>
  <c r="U108" i="14" s="1"/>
  <c r="L108" i="14"/>
  <c r="M28" i="14" s="1"/>
  <c r="N107" i="14"/>
  <c r="M107" i="14"/>
  <c r="L107" i="14"/>
  <c r="J107" i="14"/>
  <c r="H107" i="14"/>
  <c r="I107" i="14" s="1"/>
  <c r="G107" i="14"/>
  <c r="F107" i="14"/>
  <c r="F127" i="14" s="1"/>
  <c r="F131" i="14" s="1"/>
  <c r="T106" i="14"/>
  <c r="U106" i="14" s="1"/>
  <c r="Q106" i="14"/>
  <c r="R106" i="14" s="1"/>
  <c r="X101" i="14"/>
  <c r="X137" i="14" s="1"/>
  <c r="Y137" i="14" s="1"/>
  <c r="Z137" i="14" s="1"/>
  <c r="AA137" i="14" s="1"/>
  <c r="V101" i="14"/>
  <c r="X96" i="14"/>
  <c r="Y96" i="14" s="1"/>
  <c r="E95" i="14"/>
  <c r="E127" i="14" s="1"/>
  <c r="E131" i="14" s="1"/>
  <c r="D95" i="14"/>
  <c r="D127" i="14" s="1"/>
  <c r="D131" i="14" s="1"/>
  <c r="C95" i="14"/>
  <c r="C127" i="14" s="1"/>
  <c r="C131" i="14" s="1"/>
  <c r="V94" i="14"/>
  <c r="W94" i="14" s="1"/>
  <c r="X94" i="14" s="1"/>
  <c r="Y94" i="14" s="1"/>
  <c r="Z94" i="14" s="1"/>
  <c r="AA94" i="14" s="1"/>
  <c r="AB94" i="14" s="1"/>
  <c r="AC94" i="14" s="1"/>
  <c r="AD94" i="14" s="1"/>
  <c r="AE94" i="14" s="1"/>
  <c r="AF94" i="14" s="1"/>
  <c r="AG94" i="14" s="1"/>
  <c r="AH94" i="14" s="1"/>
  <c r="AI94" i="14" s="1"/>
  <c r="AJ94" i="14" s="1"/>
  <c r="G94" i="14"/>
  <c r="H94" i="14" s="1"/>
  <c r="I94" i="14" s="1"/>
  <c r="J94" i="14" s="1"/>
  <c r="K94" i="14" s="1"/>
  <c r="L94" i="14" s="1"/>
  <c r="M94" i="14" s="1"/>
  <c r="N94" i="14" s="1"/>
  <c r="O94" i="14" s="1"/>
  <c r="P94" i="14" s="1"/>
  <c r="Q94" i="14" s="1"/>
  <c r="R94" i="14" s="1"/>
  <c r="S94" i="14" s="1"/>
  <c r="T94" i="14" s="1"/>
  <c r="H91" i="14"/>
  <c r="I91" i="14" s="1"/>
  <c r="J91" i="14" s="1"/>
  <c r="V90" i="14"/>
  <c r="W90" i="14" s="1"/>
  <c r="X90" i="14" s="1"/>
  <c r="Y90" i="14" s="1"/>
  <c r="Z90" i="14" s="1"/>
  <c r="AA90" i="14" s="1"/>
  <c r="AB90" i="14" s="1"/>
  <c r="AC90" i="14" s="1"/>
  <c r="AD90" i="14" s="1"/>
  <c r="AE90" i="14" s="1"/>
  <c r="AF90" i="14" s="1"/>
  <c r="AG90" i="14" s="1"/>
  <c r="AH90" i="14" s="1"/>
  <c r="AI90" i="14" s="1"/>
  <c r="AJ90" i="14" s="1"/>
  <c r="H90" i="14"/>
  <c r="I90" i="14" s="1"/>
  <c r="J90" i="14" s="1"/>
  <c r="K90" i="14" s="1"/>
  <c r="L90" i="14" s="1"/>
  <c r="M90" i="14" s="1"/>
  <c r="N90" i="14" s="1"/>
  <c r="O90" i="14" s="1"/>
  <c r="P90" i="14" s="1"/>
  <c r="Q90" i="14" s="1"/>
  <c r="R90" i="14" s="1"/>
  <c r="S90" i="14" s="1"/>
  <c r="T90" i="14" s="1"/>
  <c r="G90" i="14"/>
  <c r="G89" i="14"/>
  <c r="H89" i="14" s="1"/>
  <c r="I89" i="14" s="1"/>
  <c r="J89" i="14" s="1"/>
  <c r="K89" i="14" s="1"/>
  <c r="L89" i="14" s="1"/>
  <c r="M89" i="14" s="1"/>
  <c r="N89" i="14" s="1"/>
  <c r="O89" i="14" s="1"/>
  <c r="P89" i="14" s="1"/>
  <c r="Q89" i="14" s="1"/>
  <c r="R89" i="14" s="1"/>
  <c r="S89" i="14" s="1"/>
  <c r="T89" i="14" s="1"/>
  <c r="U89" i="14" s="1"/>
  <c r="V89" i="14" s="1"/>
  <c r="W89" i="14" s="1"/>
  <c r="X89" i="14" s="1"/>
  <c r="Y89" i="14" s="1"/>
  <c r="Z89" i="14" s="1"/>
  <c r="AA89" i="14" s="1"/>
  <c r="AB89" i="14" s="1"/>
  <c r="AC89" i="14" s="1"/>
  <c r="AD89" i="14" s="1"/>
  <c r="AE89" i="14" s="1"/>
  <c r="AF89" i="14" s="1"/>
  <c r="AG89" i="14" s="1"/>
  <c r="AH89" i="14" s="1"/>
  <c r="AI89" i="14" s="1"/>
  <c r="AJ89" i="14" s="1"/>
  <c r="V88" i="14"/>
  <c r="W88" i="14" s="1"/>
  <c r="X88" i="14" s="1"/>
  <c r="Y88" i="14" s="1"/>
  <c r="Z88" i="14" s="1"/>
  <c r="AA88" i="14" s="1"/>
  <c r="AB88" i="14" s="1"/>
  <c r="AC88" i="14" s="1"/>
  <c r="AD88" i="14" s="1"/>
  <c r="AE88" i="14" s="1"/>
  <c r="AF88" i="14" s="1"/>
  <c r="AG88" i="14" s="1"/>
  <c r="AH88" i="14" s="1"/>
  <c r="AI88" i="14" s="1"/>
  <c r="AJ88" i="14" s="1"/>
  <c r="R88" i="14"/>
  <c r="S88" i="14" s="1"/>
  <c r="T88" i="14" s="1"/>
  <c r="I88" i="14"/>
  <c r="J88" i="14" s="1"/>
  <c r="K88" i="14" s="1"/>
  <c r="L88" i="14" s="1"/>
  <c r="M88" i="14" s="1"/>
  <c r="N88" i="14" s="1"/>
  <c r="O88" i="14" s="1"/>
  <c r="P88" i="14" s="1"/>
  <c r="G88" i="14"/>
  <c r="AH87" i="14"/>
  <c r="AI87" i="14" s="1"/>
  <c r="AJ87" i="14" s="1"/>
  <c r="AG87" i="14"/>
  <c r="AF87" i="14"/>
  <c r="AD87" i="14"/>
  <c r="AC87" i="14"/>
  <c r="AB87" i="14"/>
  <c r="AA87" i="14"/>
  <c r="Z87" i="14"/>
  <c r="Y87" i="14"/>
  <c r="W87" i="14"/>
  <c r="V87" i="14"/>
  <c r="T87" i="14"/>
  <c r="S87" i="14"/>
  <c r="R87" i="14"/>
  <c r="Q87" i="14"/>
  <c r="P87" i="14"/>
  <c r="O87" i="14"/>
  <c r="N87" i="14"/>
  <c r="M87" i="14"/>
  <c r="L87" i="14"/>
  <c r="K87" i="14"/>
  <c r="J87" i="14"/>
  <c r="I87" i="14"/>
  <c r="G87" i="14"/>
  <c r="V86" i="14"/>
  <c r="W86" i="14" s="1"/>
  <c r="X86" i="14" s="1"/>
  <c r="Y86" i="14" s="1"/>
  <c r="Z86" i="14" s="1"/>
  <c r="AA86" i="14" s="1"/>
  <c r="AB86" i="14" s="1"/>
  <c r="AC86" i="14" s="1"/>
  <c r="AD86" i="14" s="1"/>
  <c r="AE86" i="14" s="1"/>
  <c r="AF86" i="14" s="1"/>
  <c r="AG86" i="14" s="1"/>
  <c r="AH86" i="14" s="1"/>
  <c r="AI86" i="14" s="1"/>
  <c r="AJ86" i="14" s="1"/>
  <c r="R86" i="14"/>
  <c r="S86" i="14" s="1"/>
  <c r="T86" i="14" s="1"/>
  <c r="H86" i="14"/>
  <c r="I86" i="14" s="1"/>
  <c r="J86" i="14" s="1"/>
  <c r="K86" i="14" s="1"/>
  <c r="L86" i="14" s="1"/>
  <c r="M86" i="14" s="1"/>
  <c r="N86" i="14" s="1"/>
  <c r="O86" i="14" s="1"/>
  <c r="P86" i="14" s="1"/>
  <c r="AL85" i="14"/>
  <c r="AJ85" i="14"/>
  <c r="AI85" i="14"/>
  <c r="AH85" i="14"/>
  <c r="AG85" i="14"/>
  <c r="AF85" i="14"/>
  <c r="AE85" i="14"/>
  <c r="AD85" i="14"/>
  <c r="AC85" i="14"/>
  <c r="AB85" i="14"/>
  <c r="AA85" i="14"/>
  <c r="Z85" i="14"/>
  <c r="Y85" i="14"/>
  <c r="X85" i="14"/>
  <c r="W85" i="14"/>
  <c r="V85" i="14"/>
  <c r="U85" i="14"/>
  <c r="T85" i="14"/>
  <c r="S85" i="14"/>
  <c r="R85" i="14"/>
  <c r="Q85" i="14"/>
  <c r="P85" i="14"/>
  <c r="O85" i="14"/>
  <c r="N85" i="14"/>
  <c r="M85" i="14"/>
  <c r="L85" i="14"/>
  <c r="K85" i="14"/>
  <c r="J85" i="14"/>
  <c r="G85" i="14"/>
  <c r="H85" i="14" s="1"/>
  <c r="I85" i="14" s="1"/>
  <c r="H84" i="14"/>
  <c r="I84" i="14" s="1"/>
  <c r="J84" i="14" s="1"/>
  <c r="K84" i="14" s="1"/>
  <c r="L84" i="14" s="1"/>
  <c r="M84" i="14" s="1"/>
  <c r="N84" i="14" s="1"/>
  <c r="O84" i="14" s="1"/>
  <c r="P84" i="14" s="1"/>
  <c r="Q84" i="14" s="1"/>
  <c r="R84" i="14" s="1"/>
  <c r="S84" i="14" s="1"/>
  <c r="T84" i="14" s="1"/>
  <c r="U84" i="14" s="1"/>
  <c r="W83" i="14"/>
  <c r="X83" i="14" s="1"/>
  <c r="Y83" i="14" s="1"/>
  <c r="Z83" i="14" s="1"/>
  <c r="AA83" i="14" s="1"/>
  <c r="AB83" i="14" s="1"/>
  <c r="AC83" i="14" s="1"/>
  <c r="AD83" i="14" s="1"/>
  <c r="AE83" i="14" s="1"/>
  <c r="R83" i="14"/>
  <c r="S83" i="14" s="1"/>
  <c r="T83" i="14" s="1"/>
  <c r="H83" i="14"/>
  <c r="I83" i="14" s="1"/>
  <c r="J83" i="14" s="1"/>
  <c r="K83" i="14" s="1"/>
  <c r="L83" i="14" s="1"/>
  <c r="M83" i="14" s="1"/>
  <c r="N83" i="14" s="1"/>
  <c r="O83" i="14" s="1"/>
  <c r="P83" i="14" s="1"/>
  <c r="V82" i="14"/>
  <c r="W82" i="14" s="1"/>
  <c r="X82" i="14" s="1"/>
  <c r="Y82" i="14" s="1"/>
  <c r="Z82" i="14" s="1"/>
  <c r="AA82" i="14" s="1"/>
  <c r="AB82" i="14" s="1"/>
  <c r="AC82" i="14" s="1"/>
  <c r="AD82" i="14" s="1"/>
  <c r="AE82" i="14" s="1"/>
  <c r="AF82" i="14" s="1"/>
  <c r="AG82" i="14" s="1"/>
  <c r="AH82" i="14" s="1"/>
  <c r="AI82" i="14" s="1"/>
  <c r="AJ82" i="14" s="1"/>
  <c r="R82" i="14"/>
  <c r="S82" i="14" s="1"/>
  <c r="T82" i="14" s="1"/>
  <c r="I82" i="14"/>
  <c r="J82" i="14" s="1"/>
  <c r="K82" i="14" s="1"/>
  <c r="L82" i="14" s="1"/>
  <c r="M82" i="14" s="1"/>
  <c r="N82" i="14" s="1"/>
  <c r="O82" i="14" s="1"/>
  <c r="P82" i="14" s="1"/>
  <c r="AF81" i="14"/>
  <c r="AG81" i="14" s="1"/>
  <c r="AH81" i="14" s="1"/>
  <c r="AI81" i="14" s="1"/>
  <c r="AJ81" i="14" s="1"/>
  <c r="V81" i="14"/>
  <c r="W81" i="14" s="1"/>
  <c r="X81" i="14" s="1"/>
  <c r="Y81" i="14" s="1"/>
  <c r="Z81" i="14" s="1"/>
  <c r="AA81" i="14" s="1"/>
  <c r="AB81" i="14" s="1"/>
  <c r="AC81" i="14" s="1"/>
  <c r="AD81" i="14" s="1"/>
  <c r="G81" i="14"/>
  <c r="H81" i="14" s="1"/>
  <c r="I81" i="14" s="1"/>
  <c r="J81" i="14" s="1"/>
  <c r="K81" i="14" s="1"/>
  <c r="L81" i="14" s="1"/>
  <c r="M81" i="14" s="1"/>
  <c r="N81" i="14" s="1"/>
  <c r="O81" i="14" s="1"/>
  <c r="P81" i="14" s="1"/>
  <c r="Q81" i="14" s="1"/>
  <c r="R81" i="14" s="1"/>
  <c r="S81" i="14" s="1"/>
  <c r="T81" i="14" s="1"/>
  <c r="V80" i="14"/>
  <c r="W80" i="14" s="1"/>
  <c r="X80" i="14" s="1"/>
  <c r="Y80" i="14" s="1"/>
  <c r="Z80" i="14" s="1"/>
  <c r="AA80" i="14" s="1"/>
  <c r="AB80" i="14" s="1"/>
  <c r="AC80" i="14" s="1"/>
  <c r="AD80" i="14" s="1"/>
  <c r="AE80" i="14" s="1"/>
  <c r="AF80" i="14" s="1"/>
  <c r="AG80" i="14" s="1"/>
  <c r="AH80" i="14" s="1"/>
  <c r="AI80" i="14" s="1"/>
  <c r="AJ80" i="14" s="1"/>
  <c r="G80" i="14"/>
  <c r="H80" i="14" s="1"/>
  <c r="I80" i="14" s="1"/>
  <c r="J80" i="14" s="1"/>
  <c r="K80" i="14" s="1"/>
  <c r="L80" i="14" s="1"/>
  <c r="M80" i="14" s="1"/>
  <c r="N80" i="14" s="1"/>
  <c r="O80" i="14" s="1"/>
  <c r="P80" i="14" s="1"/>
  <c r="Q80" i="14" s="1"/>
  <c r="R80" i="14" s="1"/>
  <c r="S80" i="14" s="1"/>
  <c r="T80" i="14" s="1"/>
  <c r="F80" i="14"/>
  <c r="W79" i="14"/>
  <c r="X79" i="14" s="1"/>
  <c r="Y79" i="14" s="1"/>
  <c r="Z79" i="14" s="1"/>
  <c r="AA79" i="14" s="1"/>
  <c r="AB79" i="14" s="1"/>
  <c r="AC79" i="14" s="1"/>
  <c r="AD79" i="14" s="1"/>
  <c r="AE79" i="14" s="1"/>
  <c r="AF79" i="14" s="1"/>
  <c r="AG79" i="14" s="1"/>
  <c r="AH79" i="14" s="1"/>
  <c r="AI79" i="14" s="1"/>
  <c r="AJ79" i="14" s="1"/>
  <c r="G79" i="14"/>
  <c r="H79" i="14" s="1"/>
  <c r="I79" i="14" s="1"/>
  <c r="J79" i="14" s="1"/>
  <c r="K79" i="14" s="1"/>
  <c r="L79" i="14" s="1"/>
  <c r="M79" i="14" s="1"/>
  <c r="N79" i="14" s="1"/>
  <c r="O79" i="14" s="1"/>
  <c r="P79" i="14" s="1"/>
  <c r="Q79" i="14" s="1"/>
  <c r="R79" i="14" s="1"/>
  <c r="F79" i="14"/>
  <c r="W78" i="14"/>
  <c r="R78" i="14"/>
  <c r="S78" i="14" s="1"/>
  <c r="T78" i="14" s="1"/>
  <c r="G78" i="14"/>
  <c r="H78" i="14" s="1"/>
  <c r="F75" i="14"/>
  <c r="W74" i="14"/>
  <c r="X74" i="14" s="1"/>
  <c r="Y74" i="14" s="1"/>
  <c r="Z74" i="14" s="1"/>
  <c r="AA74" i="14" s="1"/>
  <c r="AB74" i="14" s="1"/>
  <c r="AC74" i="14" s="1"/>
  <c r="AD74" i="14" s="1"/>
  <c r="AE74" i="14" s="1"/>
  <c r="R74" i="14"/>
  <c r="S74" i="14" s="1"/>
  <c r="T74" i="14" s="1"/>
  <c r="P74" i="14"/>
  <c r="G74" i="14"/>
  <c r="H74" i="14" s="1"/>
  <c r="I74" i="14" s="1"/>
  <c r="J74" i="14" s="1"/>
  <c r="K74" i="14" s="1"/>
  <c r="L74" i="14" s="1"/>
  <c r="M74" i="14" s="1"/>
  <c r="N74" i="14" s="1"/>
  <c r="AL73" i="14"/>
  <c r="AF72" i="14"/>
  <c r="AG72" i="14" s="1"/>
  <c r="AH72" i="14" s="1"/>
  <c r="AI72" i="14" s="1"/>
  <c r="AJ72" i="14" s="1"/>
  <c r="AK72" i="14" s="1"/>
  <c r="AM72" i="14" s="1"/>
  <c r="AO72" i="14" s="1"/>
  <c r="AQ72" i="14" s="1"/>
  <c r="AS72" i="14" s="1"/>
  <c r="AU72" i="14" s="1"/>
  <c r="AW72" i="14" s="1"/>
  <c r="G72" i="14"/>
  <c r="H72" i="14" s="1"/>
  <c r="I72" i="14" s="1"/>
  <c r="J72" i="14" s="1"/>
  <c r="K72" i="14" s="1"/>
  <c r="L72" i="14" s="1"/>
  <c r="M72" i="14" s="1"/>
  <c r="N72" i="14" s="1"/>
  <c r="O72" i="14" s="1"/>
  <c r="P72" i="14" s="1"/>
  <c r="Q72" i="14" s="1"/>
  <c r="R72" i="14" s="1"/>
  <c r="S72" i="14" s="1"/>
  <c r="T72" i="14" s="1"/>
  <c r="U72" i="14" s="1"/>
  <c r="AE71" i="14"/>
  <c r="AF71" i="14" s="1"/>
  <c r="AD71" i="14"/>
  <c r="V71" i="14"/>
  <c r="W71" i="14" s="1"/>
  <c r="X71" i="14" s="1"/>
  <c r="Y71" i="14" s="1"/>
  <c r="Z71" i="14" s="1"/>
  <c r="AA71" i="14" s="1"/>
  <c r="AB71" i="14" s="1"/>
  <c r="AC71" i="14" s="1"/>
  <c r="I71" i="14"/>
  <c r="J71" i="14" s="1"/>
  <c r="K71" i="14" s="1"/>
  <c r="L71" i="14" s="1"/>
  <c r="M71" i="14" s="1"/>
  <c r="N71" i="14" s="1"/>
  <c r="O71" i="14" s="1"/>
  <c r="P71" i="14" s="1"/>
  <c r="Q71" i="14" s="1"/>
  <c r="G71" i="14"/>
  <c r="AG70" i="14"/>
  <c r="AF70" i="14"/>
  <c r="V70" i="14"/>
  <c r="I70" i="14"/>
  <c r="G70" i="14"/>
  <c r="I65" i="14"/>
  <c r="H65" i="14"/>
  <c r="G65" i="14"/>
  <c r="J60" i="14"/>
  <c r="AL59" i="14"/>
  <c r="AF59" i="14"/>
  <c r="AG59" i="14" s="1"/>
  <c r="AD59" i="14"/>
  <c r="AA59" i="14"/>
  <c r="AB59" i="14" s="1"/>
  <c r="Y59" i="14"/>
  <c r="V59" i="14"/>
  <c r="W20" i="14" s="1"/>
  <c r="AL58" i="14"/>
  <c r="AM58" i="14" s="1"/>
  <c r="AO38" i="14" s="1"/>
  <c r="AP38" i="14" s="1"/>
  <c r="AS38" i="14" s="1"/>
  <c r="AT38" i="14" s="1"/>
  <c r="AU38" i="14" s="1"/>
  <c r="AI58" i="14"/>
  <c r="AJ58" i="14" s="1"/>
  <c r="AH58" i="14"/>
  <c r="AD58" i="14"/>
  <c r="AE58" i="14" s="1"/>
  <c r="AF58" i="14" s="1"/>
  <c r="AG58" i="14" s="1"/>
  <c r="O56" i="14"/>
  <c r="AJ55" i="14"/>
  <c r="AI55" i="14"/>
  <c r="AG55" i="14"/>
  <c r="V54" i="14"/>
  <c r="W54" i="14" s="1"/>
  <c r="S54" i="14"/>
  <c r="R54" i="14"/>
  <c r="Q54" i="14"/>
  <c r="O54" i="14"/>
  <c r="P21" i="14" s="1"/>
  <c r="J54" i="14"/>
  <c r="AJ53" i="14"/>
  <c r="AH53" i="14"/>
  <c r="AD53" i="14"/>
  <c r="AE53" i="14" s="1"/>
  <c r="AF53" i="14" s="1"/>
  <c r="AG53" i="14" s="1"/>
  <c r="V53" i="14"/>
  <c r="W53" i="14" s="1"/>
  <c r="X53" i="14" s="1"/>
  <c r="Y53" i="14" s="1"/>
  <c r="Z53" i="14" s="1"/>
  <c r="AA53" i="14" s="1"/>
  <c r="J53" i="14"/>
  <c r="AI50" i="14"/>
  <c r="AE50" i="14"/>
  <c r="AA50" i="14"/>
  <c r="AB50" i="14" s="1"/>
  <c r="R50" i="14"/>
  <c r="P50" i="14"/>
  <c r="M50" i="14"/>
  <c r="L50" i="14"/>
  <c r="K50" i="14"/>
  <c r="M49" i="14"/>
  <c r="J49" i="14"/>
  <c r="Z48" i="14"/>
  <c r="M48" i="14"/>
  <c r="J42" i="14"/>
  <c r="AH40" i="14"/>
  <c r="AG40" i="14"/>
  <c r="AF40" i="14"/>
  <c r="AD40" i="14"/>
  <c r="AE40" i="14" s="1"/>
  <c r="AC40" i="14"/>
  <c r="AH38" i="14"/>
  <c r="AG38" i="14"/>
  <c r="AC38" i="14"/>
  <c r="AL41" i="14"/>
  <c r="AM41" i="14" s="1"/>
  <c r="AN41" i="14" s="1"/>
  <c r="AO41" i="14" s="1"/>
  <c r="AP41" i="14" s="1"/>
  <c r="AQ41" i="14" s="1"/>
  <c r="AD41" i="14"/>
  <c r="AD37" i="14"/>
  <c r="AE37" i="14" s="1"/>
  <c r="AF37" i="14" s="1"/>
  <c r="AG37" i="14" s="1"/>
  <c r="AH37" i="14" s="1"/>
  <c r="AI37" i="14" s="1"/>
  <c r="AJ37" i="14" s="1"/>
  <c r="Y37" i="14"/>
  <c r="Z37" i="14" s="1"/>
  <c r="AA37" i="14" s="1"/>
  <c r="O37" i="14"/>
  <c r="P37" i="14" s="1"/>
  <c r="Q37" i="14" s="1"/>
  <c r="R37" i="14" s="1"/>
  <c r="S37" i="14" s="1"/>
  <c r="T37" i="14" s="1"/>
  <c r="AG36" i="14"/>
  <c r="AB36" i="14"/>
  <c r="W36" i="14"/>
  <c r="S36" i="14"/>
  <c r="N36" i="14"/>
  <c r="P36" i="14" s="1"/>
  <c r="AG35" i="14"/>
  <c r="AH35" i="14" s="1"/>
  <c r="AI35" i="14" s="1"/>
  <c r="AJ35" i="14" s="1"/>
  <c r="AE35" i="14"/>
  <c r="AB35" i="14"/>
  <c r="Y35" i="14"/>
  <c r="Z35" i="14" s="1"/>
  <c r="O35" i="14"/>
  <c r="P35" i="14" s="1"/>
  <c r="Q35" i="14" s="1"/>
  <c r="L35" i="14"/>
  <c r="M35" i="14" s="1"/>
  <c r="T34" i="14"/>
  <c r="O34" i="14"/>
  <c r="P34" i="14" s="1"/>
  <c r="Q34" i="14" s="1"/>
  <c r="R34" i="14" s="1"/>
  <c r="AL33" i="14"/>
  <c r="AM33" i="14" s="1"/>
  <c r="AG33" i="14"/>
  <c r="AE33" i="14"/>
  <c r="P33" i="14"/>
  <c r="AL32" i="14"/>
  <c r="AI32" i="14"/>
  <c r="AG32" i="14"/>
  <c r="AC32" i="14"/>
  <c r="O32" i="14"/>
  <c r="P32" i="14" s="1"/>
  <c r="M32" i="14"/>
  <c r="AH39" i="14"/>
  <c r="AE39" i="14"/>
  <c r="AB39" i="14"/>
  <c r="AA39" i="14"/>
  <c r="Z39" i="14"/>
  <c r="W39" i="14"/>
  <c r="O39" i="14"/>
  <c r="P39" i="14" s="1"/>
  <c r="Q39" i="14" s="1"/>
  <c r="K39" i="14"/>
  <c r="K42" i="14" s="1"/>
  <c r="P29" i="14"/>
  <c r="L29" i="14"/>
  <c r="AH24" i="14"/>
  <c r="AG24" i="14"/>
  <c r="V24" i="14"/>
  <c r="U24" i="14"/>
  <c r="T24" i="14"/>
  <c r="N24" i="14"/>
  <c r="O24" i="14" s="1"/>
  <c r="L24" i="14"/>
  <c r="H24" i="14"/>
  <c r="I24" i="14" s="1"/>
  <c r="AE23" i="14"/>
  <c r="AF23" i="14" s="1"/>
  <c r="AG23" i="14" s="1"/>
  <c r="AH23" i="14" s="1"/>
  <c r="AI23" i="14" s="1"/>
  <c r="AJ23" i="14" s="1"/>
  <c r="H23" i="14"/>
  <c r="H44" i="14" s="1"/>
  <c r="G23" i="14"/>
  <c r="G44" i="14" s="1"/>
  <c r="AE22" i="14"/>
  <c r="AF22" i="14" s="1"/>
  <c r="AG22" i="14" s="1"/>
  <c r="AH22" i="14" s="1"/>
  <c r="AI22" i="14" s="1"/>
  <c r="AJ22" i="14" s="1"/>
  <c r="AK22" i="14" s="1"/>
  <c r="N21" i="14"/>
  <c r="L21" i="14"/>
  <c r="J21" i="14"/>
  <c r="I21" i="14"/>
  <c r="AI20" i="14"/>
  <c r="AJ20" i="14" s="1"/>
  <c r="AE20" i="14"/>
  <c r="AF20" i="14" s="1"/>
  <c r="AG20" i="14" s="1"/>
  <c r="AH20" i="14" s="1"/>
  <c r="U20" i="14"/>
  <c r="T20" i="14"/>
  <c r="AE19" i="14"/>
  <c r="AF19" i="14" s="1"/>
  <c r="AG19" i="14" s="1"/>
  <c r="AH19" i="14" s="1"/>
  <c r="AI19" i="14" s="1"/>
  <c r="AJ19" i="14" s="1"/>
  <c r="AK19" i="14" s="1"/>
  <c r="AA19" i="14"/>
  <c r="AB19" i="14" s="1"/>
  <c r="W19" i="14"/>
  <c r="U19" i="14"/>
  <c r="P19" i="14"/>
  <c r="AI18" i="14"/>
  <c r="AH18" i="14"/>
  <c r="AG18" i="14"/>
  <c r="AF18" i="14"/>
  <c r="AE18" i="14"/>
  <c r="Y18" i="14"/>
  <c r="U18" i="14"/>
  <c r="W18" i="14" s="1"/>
  <c r="R18" i="14"/>
  <c r="P18" i="14"/>
  <c r="O18" i="14"/>
  <c r="L18" i="14"/>
  <c r="D4" i="14"/>
  <c r="E4" i="14" s="1"/>
  <c r="F4" i="14" s="1"/>
  <c r="G4" i="14" s="1"/>
  <c r="H4" i="14" s="1"/>
  <c r="I4" i="14" s="1"/>
  <c r="J4" i="14" s="1"/>
  <c r="K4" i="14" s="1"/>
  <c r="L4" i="14" s="1"/>
  <c r="M4" i="14" s="1"/>
  <c r="N4" i="14" s="1"/>
  <c r="O4" i="14" s="1"/>
  <c r="P4" i="14" s="1"/>
  <c r="Q4" i="14" s="1"/>
  <c r="R4" i="14" s="1"/>
  <c r="S4" i="14" s="1"/>
  <c r="T4" i="14" s="1"/>
  <c r="U4" i="14" s="1"/>
  <c r="V4" i="14" s="1"/>
  <c r="W4" i="14" s="1"/>
  <c r="X4" i="14" s="1"/>
  <c r="Y4" i="14" s="1"/>
  <c r="Z4" i="14" s="1"/>
  <c r="AA4" i="14" s="1"/>
  <c r="AB4" i="14" s="1"/>
  <c r="AC4" i="14" s="1"/>
  <c r="AD4" i="14" s="1"/>
  <c r="AE4" i="14" s="1"/>
  <c r="AF4" i="14" s="1"/>
  <c r="AG4" i="14" s="1"/>
  <c r="AH4" i="14" s="1"/>
  <c r="AI4" i="14" s="1"/>
  <c r="AJ4" i="14" s="1"/>
  <c r="AK27" i="13"/>
  <c r="AJ27" i="13"/>
  <c r="AI127" i="13"/>
  <c r="AJ110" i="13"/>
  <c r="AQ43" i="14" l="1"/>
  <c r="AN73" i="14"/>
  <c r="AP73" i="14" s="1"/>
  <c r="AR73" i="14" s="1"/>
  <c r="AT73" i="14" s="1"/>
  <c r="AV73" i="14" s="1"/>
  <c r="AX73" i="14" s="1"/>
  <c r="AM32" i="14"/>
  <c r="AV59" i="14"/>
  <c r="AW59" i="14" s="1"/>
  <c r="AX59" i="14" s="1"/>
  <c r="AM59" i="14"/>
  <c r="AE108" i="14"/>
  <c r="AF108" i="14" s="1"/>
  <c r="AG108" i="14" s="1"/>
  <c r="AH108" i="14" s="1"/>
  <c r="AI108" i="14" s="1"/>
  <c r="AJ108" i="14" s="1"/>
  <c r="AK108" i="14" s="1"/>
  <c r="AL108" i="14" s="1"/>
  <c r="AE28" i="14"/>
  <c r="Z18" i="14"/>
  <c r="AC42" i="14"/>
  <c r="J44" i="14"/>
  <c r="AA58" i="14"/>
  <c r="AL22" i="14"/>
  <c r="AK89" i="14"/>
  <c r="AL89" i="14" s="1"/>
  <c r="AK79" i="14"/>
  <c r="AL79" i="14" s="1"/>
  <c r="AM79" i="14" s="1"/>
  <c r="AN79" i="14" s="1"/>
  <c r="AO79" i="14" s="1"/>
  <c r="AP79" i="14" s="1"/>
  <c r="AQ79" i="14" s="1"/>
  <c r="AR79" i="14" s="1"/>
  <c r="AS79" i="14" s="1"/>
  <c r="AT79" i="14" s="1"/>
  <c r="AU79" i="14" s="1"/>
  <c r="AK80" i="14"/>
  <c r="AL80" i="14" s="1"/>
  <c r="AM80" i="14" s="1"/>
  <c r="AN80" i="14" s="1"/>
  <c r="AO80" i="14" s="1"/>
  <c r="AP80" i="14" s="1"/>
  <c r="AQ80" i="14" s="1"/>
  <c r="AR80" i="14" s="1"/>
  <c r="AS80" i="14" s="1"/>
  <c r="AT80" i="14" s="1"/>
  <c r="AU80" i="14" s="1"/>
  <c r="AK88" i="14"/>
  <c r="AL88" i="14" s="1"/>
  <c r="AK94" i="14"/>
  <c r="AL94" i="14" s="1"/>
  <c r="J65" i="14"/>
  <c r="AG71" i="14"/>
  <c r="AH71" i="14" s="1"/>
  <c r="AI71" i="14" s="1"/>
  <c r="AJ71" i="14" s="1"/>
  <c r="AL71" i="14" s="1"/>
  <c r="AK90" i="14"/>
  <c r="AL90" i="14" s="1"/>
  <c r="AM90" i="14" s="1"/>
  <c r="AN90" i="14" s="1"/>
  <c r="AO90" i="14" s="1"/>
  <c r="AP90" i="14" s="1"/>
  <c r="AQ90" i="14" s="1"/>
  <c r="AR90" i="14" s="1"/>
  <c r="AS90" i="14" s="1"/>
  <c r="AT90" i="14" s="1"/>
  <c r="AU90" i="14" s="1"/>
  <c r="AK136" i="14"/>
  <c r="AL136" i="14" s="1"/>
  <c r="AK37" i="14"/>
  <c r="AL37" i="14" s="1"/>
  <c r="AK81" i="14"/>
  <c r="AL81" i="14" s="1"/>
  <c r="AK87" i="14"/>
  <c r="AL87" i="14" s="1"/>
  <c r="T35" i="14"/>
  <c r="U35" i="14" s="1"/>
  <c r="AK4" i="14"/>
  <c r="AL4" i="14" s="1"/>
  <c r="AK23" i="14"/>
  <c r="AL23" i="14" s="1"/>
  <c r="AK82" i="14"/>
  <c r="AL82" i="14" s="1"/>
  <c r="AK86" i="14"/>
  <c r="AL86" i="14" s="1"/>
  <c r="K21" i="14"/>
  <c r="K44" i="14" s="1"/>
  <c r="F95" i="14"/>
  <c r="F96" i="14" s="1"/>
  <c r="AB58" i="14"/>
  <c r="AV58" i="14"/>
  <c r="AW58" i="14" s="1"/>
  <c r="AX58" i="14" s="1"/>
  <c r="AD42" i="14"/>
  <c r="AD44" i="14" s="1"/>
  <c r="AV137" i="14"/>
  <c r="AW137" i="14" s="1"/>
  <c r="AX137" i="14" s="1"/>
  <c r="G75" i="14"/>
  <c r="V84" i="14"/>
  <c r="W84" i="14" s="1"/>
  <c r="X84" i="14" s="1"/>
  <c r="Y84" i="14" s="1"/>
  <c r="Z84" i="14" s="1"/>
  <c r="AA84" i="14" s="1"/>
  <c r="AB84" i="14" s="1"/>
  <c r="AC84" i="14" s="1"/>
  <c r="AD84" i="14" s="1"/>
  <c r="AE84" i="14" s="1"/>
  <c r="AF84" i="14" s="1"/>
  <c r="AG84" i="14" s="1"/>
  <c r="AH84" i="14" s="1"/>
  <c r="AI84" i="14" s="1"/>
  <c r="AJ84" i="14" s="1"/>
  <c r="U95" i="14"/>
  <c r="G95" i="14"/>
  <c r="L39" i="14"/>
  <c r="L42" i="14" s="1"/>
  <c r="L44" i="14" s="1"/>
  <c r="AE41" i="14"/>
  <c r="AF41" i="14" s="1"/>
  <c r="AG41" i="14" s="1"/>
  <c r="AL35" i="14"/>
  <c r="AM35" i="14" s="1"/>
  <c r="AN35" i="14" s="1"/>
  <c r="AO35" i="14" s="1"/>
  <c r="AP35" i="14" s="1"/>
  <c r="AQ35" i="14" s="1"/>
  <c r="AR35" i="14" s="1"/>
  <c r="AS35" i="14" s="1"/>
  <c r="AT35" i="14" s="1"/>
  <c r="AU35" i="14" s="1"/>
  <c r="G67" i="14"/>
  <c r="H67" i="14"/>
  <c r="AL19" i="14"/>
  <c r="AM19" i="14" s="1"/>
  <c r="AN19" i="14" s="1"/>
  <c r="AF83" i="14"/>
  <c r="AG83" i="14"/>
  <c r="AH83" i="14" s="1"/>
  <c r="AI83" i="14" s="1"/>
  <c r="AJ83" i="14" s="1"/>
  <c r="R71" i="14"/>
  <c r="S71" i="14" s="1"/>
  <c r="T71" i="14" s="1"/>
  <c r="Q70" i="14"/>
  <c r="U37" i="14"/>
  <c r="V106" i="14"/>
  <c r="R39" i="14"/>
  <c r="AA48" i="14"/>
  <c r="V72" i="14"/>
  <c r="W72" i="14" s="1"/>
  <c r="X72" i="14" s="1"/>
  <c r="Y72" i="14" s="1"/>
  <c r="Z72" i="14" s="1"/>
  <c r="AA72" i="14" s="1"/>
  <c r="AB72" i="14" s="1"/>
  <c r="AC72" i="14" s="1"/>
  <c r="AD72" i="14" s="1"/>
  <c r="AD75" i="14" s="1"/>
  <c r="AL72" i="14"/>
  <c r="AV50" i="14"/>
  <c r="AW50" i="14" s="1"/>
  <c r="AX50" i="14" s="1"/>
  <c r="AE75" i="14"/>
  <c r="AF74" i="14"/>
  <c r="AG74" i="14" s="1"/>
  <c r="AH74" i="14" s="1"/>
  <c r="AI74" i="14" s="1"/>
  <c r="AJ74" i="14" s="1"/>
  <c r="AK74" i="14" s="1"/>
  <c r="AM74" i="14" s="1"/>
  <c r="AO74" i="14" s="1"/>
  <c r="AQ74" i="14" s="1"/>
  <c r="AS74" i="14" s="1"/>
  <c r="AU74" i="14" s="1"/>
  <c r="AW74" i="14" s="1"/>
  <c r="H95" i="14"/>
  <c r="I78" i="14"/>
  <c r="X78" i="14"/>
  <c r="U74" i="14"/>
  <c r="U75" i="14" s="1"/>
  <c r="V108" i="14"/>
  <c r="W108" i="14" s="1"/>
  <c r="X108" i="14" s="1"/>
  <c r="R95" i="14"/>
  <c r="AL18" i="14"/>
  <c r="AB42" i="14"/>
  <c r="AB44" i="14" s="1"/>
  <c r="AC19" i="14"/>
  <c r="S79" i="14"/>
  <c r="T79" i="14" s="1"/>
  <c r="T95" i="14" s="1"/>
  <c r="I121" i="14"/>
  <c r="K60" i="14"/>
  <c r="L60" i="14" s="1"/>
  <c r="M60" i="14" s="1"/>
  <c r="I75" i="14"/>
  <c r="J70" i="14"/>
  <c r="Z96" i="14"/>
  <c r="Y98" i="14"/>
  <c r="P115" i="14"/>
  <c r="X98" i="14"/>
  <c r="H75" i="14"/>
  <c r="M108" i="14"/>
  <c r="W70" i="14"/>
  <c r="X136" i="14"/>
  <c r="Y136" i="14" s="1"/>
  <c r="AH70" i="14"/>
  <c r="AI51" i="13"/>
  <c r="AJ34" i="13"/>
  <c r="AK34" i="13" s="1"/>
  <c r="AL34" i="13" s="1"/>
  <c r="AM34" i="13" s="1"/>
  <c r="AN34" i="13" s="1"/>
  <c r="AS41" i="14" l="1"/>
  <c r="AR43" i="14"/>
  <c r="AM23" i="14"/>
  <c r="AN23" i="14" s="1"/>
  <c r="AO23" i="14" s="1"/>
  <c r="AP23" i="14" s="1"/>
  <c r="AQ23" i="14" s="1"/>
  <c r="AR23" i="14" s="1"/>
  <c r="AS23" i="14" s="1"/>
  <c r="AT23" i="14" s="1"/>
  <c r="AU23" i="14" s="1"/>
  <c r="AV23" i="14" s="1"/>
  <c r="AW23" i="14" s="1"/>
  <c r="AX23" i="14" s="1"/>
  <c r="AM4" i="14"/>
  <c r="AN4" i="14" s="1"/>
  <c r="AO4" i="14" s="1"/>
  <c r="AP4" i="14" s="1"/>
  <c r="AQ4" i="14" s="1"/>
  <c r="AR4" i="14" s="1"/>
  <c r="AS4" i="14" s="1"/>
  <c r="AT4" i="14" s="1"/>
  <c r="AU4" i="14" s="1"/>
  <c r="AV4" i="14" s="1"/>
  <c r="AW4" i="14" s="1"/>
  <c r="AX4" i="14" s="1"/>
  <c r="AM37" i="14"/>
  <c r="AN37" i="14" s="1"/>
  <c r="AO37" i="14" s="1"/>
  <c r="AP37" i="14" s="1"/>
  <c r="AQ37" i="14" s="1"/>
  <c r="AR37" i="14" s="1"/>
  <c r="AS37" i="14" s="1"/>
  <c r="AT37" i="14" s="1"/>
  <c r="AU37" i="14" s="1"/>
  <c r="AV37" i="14" s="1"/>
  <c r="AW37" i="14" s="1"/>
  <c r="AX37" i="14" s="1"/>
  <c r="AM108" i="14"/>
  <c r="AN108" i="14" s="1"/>
  <c r="AO108" i="14" s="1"/>
  <c r="AP108" i="14" s="1"/>
  <c r="AN72" i="14"/>
  <c r="AP72" i="14" s="1"/>
  <c r="AR72" i="14" s="1"/>
  <c r="AT72" i="14" s="1"/>
  <c r="AV72" i="14" s="1"/>
  <c r="AX72" i="14" s="1"/>
  <c r="AM81" i="14"/>
  <c r="AN81" i="14" s="1"/>
  <c r="AO81" i="14" s="1"/>
  <c r="AP81" i="14" s="1"/>
  <c r="AQ81" i="14" s="1"/>
  <c r="AR81" i="14" s="1"/>
  <c r="AS81" i="14" s="1"/>
  <c r="AT81" i="14" s="1"/>
  <c r="AU81" i="14" s="1"/>
  <c r="AV81" i="14" s="1"/>
  <c r="AW81" i="14" s="1"/>
  <c r="AX81" i="14" s="1"/>
  <c r="AN71" i="14"/>
  <c r="AP71" i="14" s="1"/>
  <c r="AR71" i="14" s="1"/>
  <c r="AT71" i="14" s="1"/>
  <c r="AV71" i="14" s="1"/>
  <c r="AX71" i="14" s="1"/>
  <c r="AM82" i="14"/>
  <c r="AN82" i="14" s="1"/>
  <c r="AO82" i="14" s="1"/>
  <c r="AP82" i="14" s="1"/>
  <c r="AQ82" i="14" s="1"/>
  <c r="AR82" i="14" s="1"/>
  <c r="AS82" i="14" s="1"/>
  <c r="AT82" i="14" s="1"/>
  <c r="AU82" i="14" s="1"/>
  <c r="AV82" i="14" s="1"/>
  <c r="AW82" i="14" s="1"/>
  <c r="AX82" i="14" s="1"/>
  <c r="AM87" i="14"/>
  <c r="AN87" i="14" s="1"/>
  <c r="AO87" i="14" s="1"/>
  <c r="AP87" i="14" s="1"/>
  <c r="AQ87" i="14" s="1"/>
  <c r="AR87" i="14" s="1"/>
  <c r="AS87" i="14" s="1"/>
  <c r="AT87" i="14" s="1"/>
  <c r="AU87" i="14" s="1"/>
  <c r="AV87" i="14" s="1"/>
  <c r="AW87" i="14" s="1"/>
  <c r="AX87" i="14" s="1"/>
  <c r="AM88" i="14"/>
  <c r="AN88" i="14" s="1"/>
  <c r="AO88" i="14" s="1"/>
  <c r="AP88" i="14" s="1"/>
  <c r="AQ88" i="14" s="1"/>
  <c r="AR88" i="14" s="1"/>
  <c r="AS88" i="14" s="1"/>
  <c r="AT88" i="14" s="1"/>
  <c r="AU88" i="14" s="1"/>
  <c r="AV88" i="14" s="1"/>
  <c r="AW88" i="14" s="1"/>
  <c r="AX88" i="14" s="1"/>
  <c r="AO19" i="14"/>
  <c r="AP19" i="14" s="1"/>
  <c r="AQ19" i="14" s="1"/>
  <c r="AR19" i="14" s="1"/>
  <c r="AS19" i="14" s="1"/>
  <c r="AT19" i="14" s="1"/>
  <c r="AU19" i="14" s="1"/>
  <c r="AV19" i="14" s="1"/>
  <c r="AW19" i="14" s="1"/>
  <c r="AX19" i="14" s="1"/>
  <c r="AM86" i="14"/>
  <c r="AN86" i="14" s="1"/>
  <c r="AO86" i="14" s="1"/>
  <c r="AP86" i="14" s="1"/>
  <c r="AQ86" i="14" s="1"/>
  <c r="AR86" i="14" s="1"/>
  <c r="AS86" i="14" s="1"/>
  <c r="AT86" i="14" s="1"/>
  <c r="AU86" i="14" s="1"/>
  <c r="AV86" i="14" s="1"/>
  <c r="AW86" i="14" s="1"/>
  <c r="AX86" i="14" s="1"/>
  <c r="AV136" i="14"/>
  <c r="AW136" i="14" s="1"/>
  <c r="AX136" i="14" s="1"/>
  <c r="AM136" i="14"/>
  <c r="AM94" i="14"/>
  <c r="AN94" i="14" s="1"/>
  <c r="AO94" i="14" s="1"/>
  <c r="AP94" i="14" s="1"/>
  <c r="AQ94" i="14" s="1"/>
  <c r="AR94" i="14" s="1"/>
  <c r="AS94" i="14" s="1"/>
  <c r="AT94" i="14" s="1"/>
  <c r="AU94" i="14" s="1"/>
  <c r="AV94" i="14" s="1"/>
  <c r="AW94" i="14" s="1"/>
  <c r="AX94" i="14" s="1"/>
  <c r="AM89" i="14"/>
  <c r="AN89" i="14" s="1"/>
  <c r="AO89" i="14" s="1"/>
  <c r="AP89" i="14" s="1"/>
  <c r="AQ89" i="14" s="1"/>
  <c r="AR89" i="14" s="1"/>
  <c r="AS89" i="14" s="1"/>
  <c r="AT89" i="14" s="1"/>
  <c r="AU89" i="14" s="1"/>
  <c r="AV89" i="14" s="1"/>
  <c r="AW89" i="14" s="1"/>
  <c r="AX89" i="14" s="1"/>
  <c r="AP18" i="14"/>
  <c r="AO32" i="14"/>
  <c r="AP32" i="14" s="1"/>
  <c r="AQ32" i="14" s="1"/>
  <c r="AR32" i="14" s="1"/>
  <c r="AS32" i="14" s="1"/>
  <c r="AT32" i="14" s="1"/>
  <c r="AU32" i="14" s="1"/>
  <c r="AV32" i="14" s="1"/>
  <c r="AW32" i="14" s="1"/>
  <c r="AX32" i="14" s="1"/>
  <c r="AV90" i="14"/>
  <c r="AW90" i="14" s="1"/>
  <c r="AX90" i="14" s="1"/>
  <c r="AF28" i="14"/>
  <c r="AG28" i="14" s="1"/>
  <c r="AH28" i="14" s="1"/>
  <c r="AI28" i="14" s="1"/>
  <c r="AJ28" i="14" s="1"/>
  <c r="AK28" i="14" s="1"/>
  <c r="AL28" i="14" s="1"/>
  <c r="AM28" i="14" s="1"/>
  <c r="M39" i="14"/>
  <c r="AV80" i="14"/>
  <c r="AW80" i="14" s="1"/>
  <c r="AX80" i="14" s="1"/>
  <c r="AV79" i="14"/>
  <c r="AW79" i="14" s="1"/>
  <c r="AX79" i="14" s="1"/>
  <c r="J67" i="14"/>
  <c r="N108" i="14"/>
  <c r="N28" i="14"/>
  <c r="N44" i="14" s="1"/>
  <c r="AC44" i="14"/>
  <c r="G96" i="14"/>
  <c r="G97" i="14" s="1"/>
  <c r="AG75" i="14"/>
  <c r="AF75" i="14"/>
  <c r="AK83" i="14"/>
  <c r="AL83" i="14" s="1"/>
  <c r="AK84" i="14"/>
  <c r="AL84" i="14" s="1"/>
  <c r="AK71" i="14"/>
  <c r="AM71" i="14" s="1"/>
  <c r="AO71" i="14" s="1"/>
  <c r="AQ71" i="14" s="1"/>
  <c r="AS71" i="14" s="1"/>
  <c r="AU71" i="14" s="1"/>
  <c r="AW71" i="14" s="1"/>
  <c r="AV38" i="14"/>
  <c r="AW38" i="14" s="1"/>
  <c r="AX38" i="14" s="1"/>
  <c r="V95" i="14"/>
  <c r="W95" i="14"/>
  <c r="AB54" i="14"/>
  <c r="AL24" i="14"/>
  <c r="AH75" i="14"/>
  <c r="AI70" i="14"/>
  <c r="X70" i="14"/>
  <c r="W75" i="14"/>
  <c r="Y108" i="14"/>
  <c r="Z108" i="14" s="1"/>
  <c r="AA108" i="14" s="1"/>
  <c r="AB108" i="14" s="1"/>
  <c r="J78" i="14"/>
  <c r="I95" i="14"/>
  <c r="I96" i="14" s="1"/>
  <c r="I97" i="14" s="1"/>
  <c r="V37" i="14"/>
  <c r="Q115" i="14"/>
  <c r="J75" i="14"/>
  <c r="K70" i="14"/>
  <c r="AA96" i="14"/>
  <c r="Z98" i="14"/>
  <c r="J121" i="14"/>
  <c r="J127" i="14" s="1"/>
  <c r="I127" i="14"/>
  <c r="AE42" i="14"/>
  <c r="AE44" i="14" s="1"/>
  <c r="X95" i="14"/>
  <c r="Y78" i="14"/>
  <c r="AL74" i="14"/>
  <c r="AB48" i="14"/>
  <c r="S39" i="14"/>
  <c r="W106" i="14"/>
  <c r="V97" i="14"/>
  <c r="V109" i="14" s="1"/>
  <c r="K65" i="14"/>
  <c r="K67" i="14" s="1"/>
  <c r="V75" i="14"/>
  <c r="H96" i="14"/>
  <c r="S95" i="14"/>
  <c r="N60" i="14"/>
  <c r="M65" i="14"/>
  <c r="Q75" i="14"/>
  <c r="R70" i="14"/>
  <c r="AT41" i="14" l="1"/>
  <c r="AS43" i="14"/>
  <c r="AM44" i="14"/>
  <c r="AN28" i="14"/>
  <c r="AN74" i="14"/>
  <c r="AP74" i="14" s="1"/>
  <c r="AR74" i="14" s="1"/>
  <c r="AT74" i="14" s="1"/>
  <c r="AV74" i="14" s="1"/>
  <c r="AX74" i="14" s="1"/>
  <c r="AM83" i="14"/>
  <c r="AN83" i="14" s="1"/>
  <c r="AO83" i="14" s="1"/>
  <c r="AP83" i="14" s="1"/>
  <c r="AQ83" i="14" s="1"/>
  <c r="AR83" i="14" s="1"/>
  <c r="AS83" i="14" s="1"/>
  <c r="AT83" i="14" s="1"/>
  <c r="AU83" i="14" s="1"/>
  <c r="AV83" i="14" s="1"/>
  <c r="AW83" i="14" s="1"/>
  <c r="AX83" i="14" s="1"/>
  <c r="AM84" i="14"/>
  <c r="AN84" i="14" s="1"/>
  <c r="AO84" i="14" s="1"/>
  <c r="AP84" i="14" s="1"/>
  <c r="AQ84" i="14" s="1"/>
  <c r="AR84" i="14" s="1"/>
  <c r="AS84" i="14" s="1"/>
  <c r="AT84" i="14" s="1"/>
  <c r="AU84" i="14" s="1"/>
  <c r="AV84" i="14" s="1"/>
  <c r="AW84" i="14" s="1"/>
  <c r="AX84" i="14" s="1"/>
  <c r="AQ108" i="14"/>
  <c r="AR108" i="14" s="1"/>
  <c r="AS108" i="14" s="1"/>
  <c r="AT108" i="14" s="1"/>
  <c r="AU108" i="14" s="1"/>
  <c r="AV108" i="14" s="1"/>
  <c r="AW108" i="14" s="1"/>
  <c r="AX108" i="14" s="1"/>
  <c r="O28" i="14"/>
  <c r="O42" i="14" s="1"/>
  <c r="O44" i="14" s="1"/>
  <c r="AV53" i="14"/>
  <c r="AW53" i="14" s="1"/>
  <c r="AX53" i="14" s="1"/>
  <c r="AL26" i="14"/>
  <c r="X106" i="14"/>
  <c r="W97" i="14"/>
  <c r="W109" i="14" s="1"/>
  <c r="AC48" i="14"/>
  <c r="Z78" i="14"/>
  <c r="Y95" i="14"/>
  <c r="R115" i="14"/>
  <c r="R75" i="14"/>
  <c r="R96" i="14" s="1"/>
  <c r="S70" i="14"/>
  <c r="AE54" i="14"/>
  <c r="K78" i="14"/>
  <c r="J95" i="14"/>
  <c r="J96" i="14" s="1"/>
  <c r="AI75" i="14"/>
  <c r="AJ70" i="14"/>
  <c r="AK70" i="14" s="1"/>
  <c r="O60" i="14"/>
  <c r="P60" i="14" s="1"/>
  <c r="N65" i="14"/>
  <c r="N67" i="14" s="1"/>
  <c r="H97" i="14"/>
  <c r="T39" i="14"/>
  <c r="AF42" i="14"/>
  <c r="AF44" i="14" s="1"/>
  <c r="K75" i="14"/>
  <c r="L70" i="14"/>
  <c r="X75" i="14"/>
  <c r="Y70" i="14"/>
  <c r="AA98" i="14"/>
  <c r="AB96" i="14"/>
  <c r="I129" i="14"/>
  <c r="AI19" i="13"/>
  <c r="AI17" i="13"/>
  <c r="AO110" i="13"/>
  <c r="AO108" i="13"/>
  <c r="AO102" i="13"/>
  <c r="AO98" i="13"/>
  <c r="AO78" i="13"/>
  <c r="AO48" i="13"/>
  <c r="AH27" i="13"/>
  <c r="AH36" i="13"/>
  <c r="AH80" i="13"/>
  <c r="AI80" i="13" s="1"/>
  <c r="AH51" i="13"/>
  <c r="AU41" i="14" l="1"/>
  <c r="AU43" i="14" s="1"/>
  <c r="AT43" i="14"/>
  <c r="AO28" i="14"/>
  <c r="AP28" i="14" s="1"/>
  <c r="AN44" i="14"/>
  <c r="AK75" i="14"/>
  <c r="AM70" i="14"/>
  <c r="AS18" i="14"/>
  <c r="P28" i="14"/>
  <c r="Q28" i="14" s="1"/>
  <c r="Q42" i="14" s="1"/>
  <c r="Q44" i="14" s="1"/>
  <c r="AV22" i="14"/>
  <c r="AW22" i="14" s="1"/>
  <c r="AX22" i="14" s="1"/>
  <c r="J97" i="14"/>
  <c r="J129" i="14"/>
  <c r="J131" i="14" s="1"/>
  <c r="AA78" i="14"/>
  <c r="Z95" i="14"/>
  <c r="Y106" i="14"/>
  <c r="AB98" i="14"/>
  <c r="Y75" i="14"/>
  <c r="Z70" i="14"/>
  <c r="M70" i="14"/>
  <c r="L75" i="14"/>
  <c r="AL70" i="14"/>
  <c r="AN70" i="14" s="1"/>
  <c r="AJ75" i="14"/>
  <c r="AF54" i="14"/>
  <c r="AG42" i="14"/>
  <c r="AG44" i="14" s="1"/>
  <c r="Q60" i="14"/>
  <c r="R60" i="14" s="1"/>
  <c r="S60" i="14" s="1"/>
  <c r="T60" i="14" s="1"/>
  <c r="U60" i="14" s="1"/>
  <c r="P65" i="14"/>
  <c r="K95" i="14"/>
  <c r="K96" i="14" s="1"/>
  <c r="L78" i="14"/>
  <c r="R97" i="14"/>
  <c r="S115" i="14"/>
  <c r="S75" i="14"/>
  <c r="S96" i="14" s="1"/>
  <c r="T70" i="14"/>
  <c r="T75" i="14" s="1"/>
  <c r="T96" i="14" s="1"/>
  <c r="AD48" i="14"/>
  <c r="AM98" i="13"/>
  <c r="AL98" i="13"/>
  <c r="AK98" i="13"/>
  <c r="AJ98" i="13"/>
  <c r="AI98" i="13"/>
  <c r="AH98" i="13"/>
  <c r="AG98" i="13"/>
  <c r="AH46" i="13"/>
  <c r="AI45" i="13"/>
  <c r="AH37" i="13"/>
  <c r="AV41" i="14" l="1"/>
  <c r="AW41" i="14" s="1"/>
  <c r="AX41" i="14" s="1"/>
  <c r="AQ28" i="14"/>
  <c r="AQ44" i="14" s="1"/>
  <c r="AP44" i="14"/>
  <c r="AP70" i="14"/>
  <c r="AN75" i="14"/>
  <c r="AO70" i="14"/>
  <c r="AM75" i="14"/>
  <c r="AT18" i="14"/>
  <c r="AV33" i="14"/>
  <c r="AW33" i="14" s="1"/>
  <c r="AX33" i="14" s="1"/>
  <c r="R28" i="14"/>
  <c r="P42" i="14"/>
  <c r="P44" i="14" s="1"/>
  <c r="P67" i="14" s="1"/>
  <c r="AG54" i="14"/>
  <c r="AA70" i="14"/>
  <c r="Z75" i="14"/>
  <c r="T115" i="14"/>
  <c r="L95" i="14"/>
  <c r="L96" i="14" s="1"/>
  <c r="M78" i="14"/>
  <c r="K97" i="14"/>
  <c r="AE48" i="14"/>
  <c r="U65" i="14"/>
  <c r="V60" i="14"/>
  <c r="Z106" i="14"/>
  <c r="S97" i="14"/>
  <c r="AH42" i="14"/>
  <c r="AH44" i="14" s="1"/>
  <c r="AL75" i="14"/>
  <c r="AA95" i="14"/>
  <c r="AB78" i="14"/>
  <c r="T97" i="14"/>
  <c r="M75" i="14"/>
  <c r="N70" i="14"/>
  <c r="AH23" i="13"/>
  <c r="AH17" i="13"/>
  <c r="AN110" i="13"/>
  <c r="AN108" i="13"/>
  <c r="AN102" i="13"/>
  <c r="AN98" i="13"/>
  <c r="AN78" i="13"/>
  <c r="AN48" i="13"/>
  <c r="AM110" i="13"/>
  <c r="AM108" i="13"/>
  <c r="AM102" i="13"/>
  <c r="AM78" i="13"/>
  <c r="AM66" i="13"/>
  <c r="AO66" i="13" s="1"/>
  <c r="AM48" i="13"/>
  <c r="AG17" i="13"/>
  <c r="AR28" i="14" l="1"/>
  <c r="AP75" i="14"/>
  <c r="AR70" i="14"/>
  <c r="AQ70" i="14"/>
  <c r="AO75" i="14"/>
  <c r="AU18" i="14"/>
  <c r="R42" i="14"/>
  <c r="R44" i="14" s="1"/>
  <c r="S28" i="14"/>
  <c r="AH54" i="14"/>
  <c r="AI42" i="14"/>
  <c r="AI44" i="14" s="1"/>
  <c r="W60" i="14"/>
  <c r="V65" i="14"/>
  <c r="L97" i="14"/>
  <c r="AB70" i="14"/>
  <c r="AA75" i="14"/>
  <c r="N75" i="14"/>
  <c r="O70" i="14"/>
  <c r="AF48" i="14"/>
  <c r="N78" i="14"/>
  <c r="M95" i="14"/>
  <c r="M96" i="14" s="1"/>
  <c r="AB95" i="14"/>
  <c r="AC78" i="14"/>
  <c r="U115" i="14"/>
  <c r="AA106" i="14"/>
  <c r="AG23" i="13"/>
  <c r="AG37" i="13"/>
  <c r="AG36" i="13"/>
  <c r="AG32" i="13"/>
  <c r="AG29" i="13"/>
  <c r="AG28" i="13"/>
  <c r="AS28" i="14" l="1"/>
  <c r="AR44" i="14"/>
  <c r="AR75" i="14"/>
  <c r="AT70" i="14"/>
  <c r="AT75" i="14" s="1"/>
  <c r="AQ75" i="14"/>
  <c r="AS70" i="14"/>
  <c r="AV35" i="14"/>
  <c r="AW35" i="14" s="1"/>
  <c r="AX35" i="14" s="1"/>
  <c r="T28" i="14"/>
  <c r="S42" i="14"/>
  <c r="S44" i="14" s="1"/>
  <c r="AV40" i="14"/>
  <c r="AV114" i="14"/>
  <c r="AV25" i="14"/>
  <c r="AJ42" i="14"/>
  <c r="AJ44" i="14" s="1"/>
  <c r="M97" i="14"/>
  <c r="AB106" i="14"/>
  <c r="O78" i="14"/>
  <c r="N95" i="14"/>
  <c r="N96" i="14" s="1"/>
  <c r="O75" i="14"/>
  <c r="P70" i="14"/>
  <c r="P75" i="14" s="1"/>
  <c r="V115" i="14"/>
  <c r="AC70" i="14"/>
  <c r="AC75" i="14" s="1"/>
  <c r="AB75" i="14"/>
  <c r="X60" i="14"/>
  <c r="AD78" i="14"/>
  <c r="AC95" i="14"/>
  <c r="AG48" i="14"/>
  <c r="AI54" i="14"/>
  <c r="AL66" i="13"/>
  <c r="AN66" i="13" s="1"/>
  <c r="AL108" i="13"/>
  <c r="AK108" i="13"/>
  <c r="AJ108" i="13"/>
  <c r="AG108" i="13"/>
  <c r="AL48" i="13"/>
  <c r="AK48" i="13"/>
  <c r="AJ48" i="13"/>
  <c r="AI48" i="13"/>
  <c r="AG48" i="13"/>
  <c r="AF108" i="13"/>
  <c r="AF104" i="13"/>
  <c r="AE108" i="13"/>
  <c r="AF110" i="13"/>
  <c r="AE110" i="13"/>
  <c r="AG80" i="13"/>
  <c r="AF80" i="13"/>
  <c r="AW40" i="14" l="1"/>
  <c r="AV43" i="14"/>
  <c r="AT28" i="14"/>
  <c r="AS44" i="14"/>
  <c r="AW114" i="14"/>
  <c r="AW25" i="14"/>
  <c r="AS75" i="14"/>
  <c r="AU70" i="14"/>
  <c r="U28" i="14"/>
  <c r="T42" i="14"/>
  <c r="T44" i="14" s="1"/>
  <c r="AV18" i="14"/>
  <c r="AK44" i="14"/>
  <c r="AC96" i="14"/>
  <c r="N97" i="14"/>
  <c r="AD95" i="14"/>
  <c r="AD96" i="14" s="1"/>
  <c r="AE78" i="14"/>
  <c r="AC106" i="14"/>
  <c r="AD106" i="14" s="1"/>
  <c r="AE106" i="14" s="1"/>
  <c r="Y60" i="14"/>
  <c r="Z60" i="14" s="1"/>
  <c r="AA60" i="14" s="1"/>
  <c r="AB60" i="14" s="1"/>
  <c r="AC60" i="14" s="1"/>
  <c r="W115" i="14"/>
  <c r="AH48" i="14"/>
  <c r="O95" i="14"/>
  <c r="O96" i="14" s="1"/>
  <c r="P78" i="14"/>
  <c r="AJ54" i="14"/>
  <c r="AE111" i="13"/>
  <c r="AF37" i="13"/>
  <c r="AX25" i="14" l="1"/>
  <c r="AX114" i="14"/>
  <c r="AW43" i="14"/>
  <c r="AX40" i="14"/>
  <c r="AX43" i="14" s="1"/>
  <c r="AW18" i="14"/>
  <c r="AX18" i="14" s="1"/>
  <c r="AU28" i="14"/>
  <c r="AU44" i="14" s="1"/>
  <c r="AT44" i="14"/>
  <c r="AU75" i="14"/>
  <c r="AW70" i="14"/>
  <c r="AW75" i="14" s="1"/>
  <c r="U42" i="14"/>
  <c r="U44" i="14" s="1"/>
  <c r="U67" i="14" s="1"/>
  <c r="V28" i="14"/>
  <c r="AV70" i="14"/>
  <c r="AC98" i="14"/>
  <c r="P95" i="14"/>
  <c r="P96" i="14" s="1"/>
  <c r="Q78" i="14"/>
  <c r="Q95" i="14" s="1"/>
  <c r="Q96" i="14" s="1"/>
  <c r="AE95" i="14"/>
  <c r="AE96" i="14" s="1"/>
  <c r="AF78" i="14"/>
  <c r="O97" i="14"/>
  <c r="AI48" i="14"/>
  <c r="X115" i="14"/>
  <c r="AF106" i="14"/>
  <c r="AD60" i="14"/>
  <c r="AE60" i="14" s="1"/>
  <c r="AF60" i="14" s="1"/>
  <c r="AG60" i="14" s="1"/>
  <c r="AH60" i="14" s="1"/>
  <c r="AI60" i="14" s="1"/>
  <c r="AD98" i="14"/>
  <c r="AF17" i="13"/>
  <c r="AL110" i="13"/>
  <c r="AL102" i="13"/>
  <c r="AL78" i="13"/>
  <c r="AK110" i="13"/>
  <c r="AK102" i="13"/>
  <c r="AK78" i="13"/>
  <c r="AF98" i="13"/>
  <c r="AE98" i="13"/>
  <c r="AF65" i="13"/>
  <c r="AG63" i="13"/>
  <c r="AH63" i="13" s="1"/>
  <c r="AI63" i="13" s="1"/>
  <c r="AF63" i="13"/>
  <c r="AD64" i="13"/>
  <c r="AJ80" i="13"/>
  <c r="AK80" i="13" s="1"/>
  <c r="AL80" i="13" s="1"/>
  <c r="AM80" i="13" s="1"/>
  <c r="AN80" i="13" s="1"/>
  <c r="AO80" i="13" s="1"/>
  <c r="AE64" i="13"/>
  <c r="AF64" i="13" s="1"/>
  <c r="AE17" i="13"/>
  <c r="AD51" i="13"/>
  <c r="AE51" i="13" s="1"/>
  <c r="AF51" i="13" s="1"/>
  <c r="AJ46" i="13"/>
  <c r="AK46" i="13" s="1"/>
  <c r="AL46" i="13" s="1"/>
  <c r="AM46" i="13" s="1"/>
  <c r="AN46" i="13" s="1"/>
  <c r="AD46" i="13"/>
  <c r="AE46" i="13" s="1"/>
  <c r="AF46" i="13" s="1"/>
  <c r="AG46" i="13" s="1"/>
  <c r="AE45" i="13"/>
  <c r="AE27" i="13"/>
  <c r="AG64" i="13" l="1"/>
  <c r="AV75" i="14"/>
  <c r="AX70" i="14"/>
  <c r="AX75" i="14" s="1"/>
  <c r="W28" i="14"/>
  <c r="V42" i="14"/>
  <c r="V44" i="14" s="1"/>
  <c r="V67" i="14" s="1"/>
  <c r="Q97" i="14"/>
  <c r="AG106" i="14"/>
  <c r="AE98" i="14"/>
  <c r="AJ48" i="14"/>
  <c r="AK48" i="14" s="1"/>
  <c r="AF95" i="14"/>
  <c r="AF96" i="14" s="1"/>
  <c r="AG78" i="14"/>
  <c r="Y115" i="14"/>
  <c r="P97" i="14"/>
  <c r="AO34" i="13"/>
  <c r="AO46" i="13"/>
  <c r="AJ51" i="13"/>
  <c r="AK51" i="13" s="1"/>
  <c r="AL51" i="13" s="1"/>
  <c r="AM51" i="13" s="1"/>
  <c r="AN51" i="13" s="1"/>
  <c r="AO51" i="13" s="1"/>
  <c r="AG51" i="13"/>
  <c r="AJ102" i="13"/>
  <c r="AJ78" i="13"/>
  <c r="AJ19" i="13"/>
  <c r="AK19" i="13" s="1"/>
  <c r="AL19" i="13" s="1"/>
  <c r="AM19" i="13" s="1"/>
  <c r="AN19" i="13" s="1"/>
  <c r="AO19" i="13" s="1"/>
  <c r="AE19" i="13"/>
  <c r="AF19" i="13" s="1"/>
  <c r="AG19" i="13" s="1"/>
  <c r="AH19" i="13" s="1"/>
  <c r="AF21" i="13"/>
  <c r="AG21" i="13" s="1"/>
  <c r="AH21" i="13" s="1"/>
  <c r="AI21" i="13" s="1"/>
  <c r="AJ21" i="13" s="1"/>
  <c r="AK21" i="13" s="1"/>
  <c r="AL21" i="13" s="1"/>
  <c r="AM21" i="13" s="1"/>
  <c r="AN21" i="13" s="1"/>
  <c r="AO21" i="13" s="1"/>
  <c r="AE22" i="13"/>
  <c r="AF22" i="13" s="1"/>
  <c r="AG22" i="13" s="1"/>
  <c r="AH22" i="13" s="1"/>
  <c r="AI22" i="13" s="1"/>
  <c r="AJ22" i="13" s="1"/>
  <c r="AK22" i="13" s="1"/>
  <c r="AL22" i="13" s="1"/>
  <c r="AM22" i="13" s="1"/>
  <c r="AN22" i="13" s="1"/>
  <c r="AO22" i="13" s="1"/>
  <c r="AE21" i="13"/>
  <c r="W42" i="14" l="1"/>
  <c r="W44" i="14" s="1"/>
  <c r="X28" i="14"/>
  <c r="AF98" i="14"/>
  <c r="AH78" i="14"/>
  <c r="AG95" i="14"/>
  <c r="AG96" i="14" s="1"/>
  <c r="Z115" i="14"/>
  <c r="AH106" i="14"/>
  <c r="AK17" i="13"/>
  <c r="AD37" i="13"/>
  <c r="AE37" i="13" s="1"/>
  <c r="AJ37" i="13" s="1"/>
  <c r="AK37" i="13" s="1"/>
  <c r="AL37" i="13" s="1"/>
  <c r="AM37" i="13" s="1"/>
  <c r="AN37" i="13" s="1"/>
  <c r="AO37" i="13" s="1"/>
  <c r="X42" i="14" l="1"/>
  <c r="X44" i="14" s="1"/>
  <c r="Y28" i="14"/>
  <c r="AV24" i="14"/>
  <c r="AA115" i="14"/>
  <c r="AG98" i="14"/>
  <c r="AL48" i="14"/>
  <c r="AM48" i="14" s="1"/>
  <c r="AN48" i="14" s="1"/>
  <c r="AO48" i="14" s="1"/>
  <c r="AP48" i="14" s="1"/>
  <c r="AQ48" i="14" s="1"/>
  <c r="AR48" i="14" s="1"/>
  <c r="AS48" i="14" s="1"/>
  <c r="AT48" i="14" s="1"/>
  <c r="AU48" i="14" s="1"/>
  <c r="AI106" i="14"/>
  <c r="AI78" i="14"/>
  <c r="AH95" i="14"/>
  <c r="AH96" i="14" s="1"/>
  <c r="AL17" i="13"/>
  <c r="AM17" i="13" s="1"/>
  <c r="AI110" i="13"/>
  <c r="AI102" i="13"/>
  <c r="AI78" i="13"/>
  <c r="AV26" i="14" l="1"/>
  <c r="AW24" i="14"/>
  <c r="Y42" i="14"/>
  <c r="Z28" i="14"/>
  <c r="AH98" i="14"/>
  <c r="AB115" i="14"/>
  <c r="AI95" i="14"/>
  <c r="AI96" i="14" s="1"/>
  <c r="AJ78" i="14"/>
  <c r="AK78" i="14" s="1"/>
  <c r="AK95" i="14" s="1"/>
  <c r="AK96" i="14" s="1"/>
  <c r="AJ106" i="14"/>
  <c r="AK106" i="14" s="1"/>
  <c r="AN17" i="13"/>
  <c r="AO17" i="13" s="1"/>
  <c r="AD34" i="13"/>
  <c r="AE34" i="13" s="1"/>
  <c r="AF34" i="13" s="1"/>
  <c r="AG34" i="13" s="1"/>
  <c r="AC35" i="13"/>
  <c r="AD33" i="13"/>
  <c r="AD25" i="13"/>
  <c r="AC110" i="13"/>
  <c r="AB128" i="13"/>
  <c r="AD38" i="13" l="1"/>
  <c r="AW26" i="14"/>
  <c r="AX24" i="14"/>
  <c r="AX26" i="14" s="1"/>
  <c r="Z42" i="14"/>
  <c r="AA28" i="14"/>
  <c r="AA42" i="14" s="1"/>
  <c r="AA54" i="14" s="1"/>
  <c r="Y44" i="14"/>
  <c r="Y54" i="14"/>
  <c r="AK98" i="14"/>
  <c r="AJ95" i="14"/>
  <c r="AJ96" i="14" s="1"/>
  <c r="AK65" i="14" s="1"/>
  <c r="AC115" i="14"/>
  <c r="AI98" i="14"/>
  <c r="AC28" i="13"/>
  <c r="O28" i="13"/>
  <c r="P28" i="13" s="1"/>
  <c r="M28" i="13"/>
  <c r="AC37" i="13"/>
  <c r="AC36" i="13"/>
  <c r="AH110" i="13"/>
  <c r="AH102" i="13"/>
  <c r="AH78" i="13"/>
  <c r="Z54" i="14" l="1"/>
  <c r="Z65" i="14" s="1"/>
  <c r="Z44" i="14"/>
  <c r="AA44" i="14"/>
  <c r="AK67" i="14"/>
  <c r="AJ98" i="14"/>
  <c r="AV48" i="14"/>
  <c r="AW48" i="14" s="1"/>
  <c r="AX48" i="14" s="1"/>
  <c r="AL78" i="14"/>
  <c r="AM78" i="14" s="1"/>
  <c r="AD115" i="14"/>
  <c r="AL106" i="14"/>
  <c r="AM106" i="14" s="1"/>
  <c r="AN106" i="14" s="1"/>
  <c r="AO106" i="14" s="1"/>
  <c r="AP106" i="14" s="1"/>
  <c r="AQ106" i="14" s="1"/>
  <c r="AR106" i="14" s="1"/>
  <c r="AS106" i="14" s="1"/>
  <c r="AT106" i="14" s="1"/>
  <c r="AU106" i="14" s="1"/>
  <c r="AC38" i="13"/>
  <c r="AA18" i="13"/>
  <c r="AB18" i="13" s="1"/>
  <c r="AC18" i="13" s="1"/>
  <c r="AA107" i="13"/>
  <c r="AN78" i="14" l="1"/>
  <c r="AM95" i="14"/>
  <c r="AM96" i="14" s="1"/>
  <c r="AM98" i="14" s="1"/>
  <c r="Z67" i="14"/>
  <c r="AL95" i="14"/>
  <c r="AL96" i="14" s="1"/>
  <c r="AE31" i="13"/>
  <c r="AB27" i="13"/>
  <c r="AB31" i="13"/>
  <c r="AB104" i="13"/>
  <c r="AI28" i="13"/>
  <c r="AK28" i="13" s="1"/>
  <c r="AL28" i="13" s="1"/>
  <c r="AM28" i="13" s="1"/>
  <c r="AN28" i="13" s="1"/>
  <c r="AO28" i="13" s="1"/>
  <c r="AB32" i="13"/>
  <c r="AG110" i="13"/>
  <c r="AG102" i="13"/>
  <c r="AG78" i="13"/>
  <c r="AA127" i="13"/>
  <c r="AC127" i="13" s="1"/>
  <c r="AD127" i="13" s="1"/>
  <c r="AE127" i="13" s="1"/>
  <c r="AF127" i="13" s="1"/>
  <c r="AG127" i="13" s="1"/>
  <c r="AH127" i="13" s="1"/>
  <c r="AJ127" i="13" s="1"/>
  <c r="AK127" i="13" s="1"/>
  <c r="AL127" i="13" s="1"/>
  <c r="AM127" i="13" s="1"/>
  <c r="AN127" i="13" s="1"/>
  <c r="AO127" i="13" s="1"/>
  <c r="AF107" i="13"/>
  <c r="AG107" i="13" s="1"/>
  <c r="AH107" i="13" s="1"/>
  <c r="AK107" i="13" s="1"/>
  <c r="AL107" i="13" s="1"/>
  <c r="AM107" i="13" s="1"/>
  <c r="AN107" i="13" s="1"/>
  <c r="AO107" i="13" s="1"/>
  <c r="AA27" i="13"/>
  <c r="AB107" i="13"/>
  <c r="AA98" i="13"/>
  <c r="AA45" i="13"/>
  <c r="AB45" i="13" s="1"/>
  <c r="AF102" i="13"/>
  <c r="AF78" i="13"/>
  <c r="Z127" i="13"/>
  <c r="Z110" i="13"/>
  <c r="Z27" i="13"/>
  <c r="AE102" i="13"/>
  <c r="AE78" i="13"/>
  <c r="X44" i="13"/>
  <c r="Y17" i="13"/>
  <c r="AD110" i="13"/>
  <c r="AD102" i="13"/>
  <c r="AD80" i="13"/>
  <c r="AD78" i="13"/>
  <c r="Y33" i="13"/>
  <c r="Z33" i="13" s="1"/>
  <c r="AA33" i="13" s="1"/>
  <c r="AE33" i="13"/>
  <c r="AF33" i="13" s="1"/>
  <c r="AG33" i="13" s="1"/>
  <c r="AH33" i="13" s="1"/>
  <c r="AI33" i="13" s="1"/>
  <c r="AJ33" i="13" s="1"/>
  <c r="AK33" i="13" s="1"/>
  <c r="AL33" i="13" s="1"/>
  <c r="AM33" i="13" s="1"/>
  <c r="AN33" i="13" s="1"/>
  <c r="AO33" i="13" s="1"/>
  <c r="X104" i="13"/>
  <c r="AB110" i="13"/>
  <c r="AA110" i="13"/>
  <c r="Y110" i="13"/>
  <c r="AC80" i="13"/>
  <c r="AC78" i="13"/>
  <c r="W110" i="13"/>
  <c r="W27" i="13"/>
  <c r="W32" i="13"/>
  <c r="V52" i="13"/>
  <c r="W19" i="13" s="1"/>
  <c r="Y52" i="13"/>
  <c r="AB80" i="13"/>
  <c r="AB78" i="13"/>
  <c r="AA80" i="13"/>
  <c r="AA78" i="13"/>
  <c r="U102" i="13"/>
  <c r="X89" i="13"/>
  <c r="X91" i="13" s="1"/>
  <c r="V63" i="13"/>
  <c r="W63" i="13" s="1"/>
  <c r="X63" i="13" s="1"/>
  <c r="Y63" i="13" s="1"/>
  <c r="Z63" i="13" s="1"/>
  <c r="AA63" i="13" s="1"/>
  <c r="AB63" i="13" s="1"/>
  <c r="AC63" i="13" s="1"/>
  <c r="V46" i="13"/>
  <c r="V23" i="13"/>
  <c r="U98" i="13"/>
  <c r="V98" i="13"/>
  <c r="S107" i="13"/>
  <c r="U19" i="13"/>
  <c r="U23" i="13"/>
  <c r="U17" i="13"/>
  <c r="W17" i="13" s="1"/>
  <c r="T19" i="13"/>
  <c r="T23" i="13"/>
  <c r="AQ102" i="13"/>
  <c r="U18" i="13"/>
  <c r="W18" i="13"/>
  <c r="S103" i="13"/>
  <c r="S104" i="13"/>
  <c r="R17" i="13"/>
  <c r="S106" i="13"/>
  <c r="S47" i="13"/>
  <c r="Q80" i="13"/>
  <c r="R71" i="13"/>
  <c r="Q47" i="13"/>
  <c r="R47" i="13"/>
  <c r="P26" i="13"/>
  <c r="T98" i="13"/>
  <c r="S98" i="13"/>
  <c r="R98" i="13"/>
  <c r="Q98" i="13"/>
  <c r="P98" i="13"/>
  <c r="Q99" i="13"/>
  <c r="R99" i="13" s="1"/>
  <c r="Z80" i="13"/>
  <c r="Y80" i="13"/>
  <c r="W80" i="13"/>
  <c r="V80" i="13"/>
  <c r="Z78" i="13"/>
  <c r="Y78" i="13"/>
  <c r="X78" i="13"/>
  <c r="W78" i="13"/>
  <c r="V78" i="13"/>
  <c r="AQ109" i="13"/>
  <c r="R67" i="13"/>
  <c r="S67" i="13" s="1"/>
  <c r="T67" i="13" s="1"/>
  <c r="W67" i="13"/>
  <c r="X67" i="13" s="1"/>
  <c r="Y67" i="13" s="1"/>
  <c r="Z67" i="13" s="1"/>
  <c r="AA67" i="13" s="1"/>
  <c r="AB67" i="13" s="1"/>
  <c r="AC67" i="13" s="1"/>
  <c r="AD67" i="13" s="1"/>
  <c r="AE67" i="13" s="1"/>
  <c r="AF67" i="13" s="1"/>
  <c r="AG67" i="13" s="1"/>
  <c r="AH67" i="13" s="1"/>
  <c r="AI67" i="13" s="1"/>
  <c r="AJ67" i="13" s="1"/>
  <c r="AR63" i="13"/>
  <c r="D3" i="13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AE3" i="13" s="1"/>
  <c r="AF3" i="13" s="1"/>
  <c r="AG3" i="13" s="1"/>
  <c r="AH3" i="13" s="1"/>
  <c r="AI3" i="13" s="1"/>
  <c r="AJ3" i="13" s="1"/>
  <c r="AK3" i="13" s="1"/>
  <c r="AL3" i="13" s="1"/>
  <c r="AM3" i="13" s="1"/>
  <c r="AN3" i="13" s="1"/>
  <c r="AO3" i="13" s="1"/>
  <c r="F68" i="13"/>
  <c r="F72" i="13"/>
  <c r="F73" i="13"/>
  <c r="C88" i="13"/>
  <c r="C119" i="13" s="1"/>
  <c r="C123" i="13" s="1"/>
  <c r="D88" i="13"/>
  <c r="D119" i="13" s="1"/>
  <c r="D123" i="13" s="1"/>
  <c r="E88" i="13"/>
  <c r="E119" i="13" s="1"/>
  <c r="E123" i="13" s="1"/>
  <c r="F100" i="13"/>
  <c r="F119" i="13" s="1"/>
  <c r="F123" i="13" s="1"/>
  <c r="P18" i="13"/>
  <c r="P17" i="13"/>
  <c r="U78" i="13"/>
  <c r="O49" i="13"/>
  <c r="O47" i="13"/>
  <c r="P20" i="13" s="1"/>
  <c r="O17" i="13"/>
  <c r="T80" i="13"/>
  <c r="T78" i="13"/>
  <c r="I105" i="13"/>
  <c r="H105" i="13"/>
  <c r="L105" i="13"/>
  <c r="O30" i="13"/>
  <c r="P30" i="13" s="1"/>
  <c r="Q30" i="13" s="1"/>
  <c r="R30" i="13" s="1"/>
  <c r="T30" i="13"/>
  <c r="O33" i="13"/>
  <c r="P33" i="13" s="1"/>
  <c r="Q33" i="13" s="1"/>
  <c r="R33" i="13" s="1"/>
  <c r="S33" i="13" s="1"/>
  <c r="T33" i="13" s="1"/>
  <c r="U33" i="13" s="1"/>
  <c r="M44" i="13"/>
  <c r="M43" i="13"/>
  <c r="N32" i="13"/>
  <c r="P32" i="13" s="1"/>
  <c r="S32" i="13"/>
  <c r="N20" i="13"/>
  <c r="N23" i="13"/>
  <c r="O23" i="13" s="1"/>
  <c r="M125" i="13"/>
  <c r="L45" i="13"/>
  <c r="M45" i="13"/>
  <c r="N100" i="13"/>
  <c r="M100" i="13"/>
  <c r="S80" i="13"/>
  <c r="S78" i="13"/>
  <c r="R80" i="13"/>
  <c r="R78" i="13"/>
  <c r="L100" i="13"/>
  <c r="J100" i="13"/>
  <c r="H100" i="13"/>
  <c r="I100" i="13" s="1"/>
  <c r="G100" i="13"/>
  <c r="O31" i="13"/>
  <c r="P31" i="13" s="1"/>
  <c r="Q31" i="13" s="1"/>
  <c r="L20" i="13"/>
  <c r="L31" i="13"/>
  <c r="M31" i="13" s="1"/>
  <c r="L26" i="13"/>
  <c r="L23" i="13"/>
  <c r="L17" i="13"/>
  <c r="Q78" i="13"/>
  <c r="P80" i="13"/>
  <c r="P78" i="13"/>
  <c r="L101" i="13"/>
  <c r="M101" i="13" s="1"/>
  <c r="O80" i="13"/>
  <c r="O78" i="13"/>
  <c r="O27" i="13"/>
  <c r="P27" i="13" s="1"/>
  <c r="Q27" i="13" s="1"/>
  <c r="R27" i="13" s="1"/>
  <c r="S27" i="13" s="1"/>
  <c r="K101" i="13"/>
  <c r="J44" i="13"/>
  <c r="K27" i="13"/>
  <c r="L27" i="13" s="1"/>
  <c r="J20" i="13"/>
  <c r="J47" i="13"/>
  <c r="J46" i="13"/>
  <c r="M108" i="13"/>
  <c r="N108" i="13" s="1"/>
  <c r="O108" i="13" s="1"/>
  <c r="P108" i="13" s="1"/>
  <c r="G98" i="13"/>
  <c r="H98" i="13"/>
  <c r="K98" i="13"/>
  <c r="I20" i="13"/>
  <c r="AR98" i="13"/>
  <c r="AT98" i="13" s="1"/>
  <c r="AV98" i="13" s="1"/>
  <c r="AV100" i="13" s="1"/>
  <c r="AW43" i="13"/>
  <c r="AQ1" i="13"/>
  <c r="H102" i="13"/>
  <c r="I64" i="13"/>
  <c r="J64" i="13" s="1"/>
  <c r="K64" i="13" s="1"/>
  <c r="L64" i="13" s="1"/>
  <c r="M64" i="13" s="1"/>
  <c r="N64" i="13" s="1"/>
  <c r="O64" i="13" s="1"/>
  <c r="P64" i="13" s="1"/>
  <c r="Q64" i="13" s="1"/>
  <c r="N80" i="13"/>
  <c r="N78" i="13"/>
  <c r="J116" i="13"/>
  <c r="J115" i="13"/>
  <c r="J114" i="13"/>
  <c r="J112" i="13"/>
  <c r="G67" i="13"/>
  <c r="H67" i="13" s="1"/>
  <c r="I67" i="13" s="1"/>
  <c r="J67" i="13" s="1"/>
  <c r="K67" i="13" s="1"/>
  <c r="L67" i="13" s="1"/>
  <c r="M67" i="13" s="1"/>
  <c r="N67" i="13" s="1"/>
  <c r="P67" i="13"/>
  <c r="H84" i="13"/>
  <c r="I84" i="13" s="1"/>
  <c r="J84" i="13" s="1"/>
  <c r="G81" i="13"/>
  <c r="G80" i="13"/>
  <c r="G78" i="13"/>
  <c r="H78" i="13" s="1"/>
  <c r="I78" i="13" s="1"/>
  <c r="G74" i="13"/>
  <c r="H74" i="13" s="1"/>
  <c r="I74" i="13" s="1"/>
  <c r="J74" i="13" s="1"/>
  <c r="K74" i="13" s="1"/>
  <c r="L74" i="13" s="1"/>
  <c r="M74" i="13" s="1"/>
  <c r="N74" i="13" s="1"/>
  <c r="O74" i="13" s="1"/>
  <c r="P74" i="13" s="1"/>
  <c r="Q74" i="13" s="1"/>
  <c r="R74" i="13" s="1"/>
  <c r="S74" i="13" s="1"/>
  <c r="T74" i="13" s="1"/>
  <c r="H113" i="13"/>
  <c r="A113" i="13"/>
  <c r="G87" i="13"/>
  <c r="H87" i="13" s="1"/>
  <c r="I87" i="13" s="1"/>
  <c r="J87" i="13" s="1"/>
  <c r="K87" i="13" s="1"/>
  <c r="L87" i="13" s="1"/>
  <c r="M87" i="13" s="1"/>
  <c r="N87" i="13" s="1"/>
  <c r="O87" i="13" s="1"/>
  <c r="P87" i="13" s="1"/>
  <c r="Q87" i="13" s="1"/>
  <c r="R87" i="13" s="1"/>
  <c r="S87" i="13" s="1"/>
  <c r="T87" i="13" s="1"/>
  <c r="V87" i="13"/>
  <c r="W87" i="13" s="1"/>
  <c r="X87" i="13" s="1"/>
  <c r="Y87" i="13" s="1"/>
  <c r="Z87" i="13" s="1"/>
  <c r="AA87" i="13" s="1"/>
  <c r="AB87" i="13" s="1"/>
  <c r="AC87" i="13" s="1"/>
  <c r="AD87" i="13" s="1"/>
  <c r="AE87" i="13" s="1"/>
  <c r="AF87" i="13" s="1"/>
  <c r="AG87" i="13" s="1"/>
  <c r="AH87" i="13" s="1"/>
  <c r="AI87" i="13" s="1"/>
  <c r="AJ87" i="13" s="1"/>
  <c r="AK87" i="13" s="1"/>
  <c r="AL87" i="13" s="1"/>
  <c r="AM87" i="13" s="1"/>
  <c r="AN87" i="13" s="1"/>
  <c r="AO87" i="13" s="1"/>
  <c r="J53" i="13"/>
  <c r="K53" i="13" s="1"/>
  <c r="H83" i="13"/>
  <c r="I83" i="13" s="1"/>
  <c r="J83" i="13" s="1"/>
  <c r="K83" i="13" s="1"/>
  <c r="L83" i="13" s="1"/>
  <c r="M83" i="13" s="1"/>
  <c r="N83" i="13" s="1"/>
  <c r="O83" i="13" s="1"/>
  <c r="P83" i="13" s="1"/>
  <c r="Q83" i="13" s="1"/>
  <c r="R83" i="13" s="1"/>
  <c r="S83" i="13" s="1"/>
  <c r="T83" i="13" s="1"/>
  <c r="V83" i="13"/>
  <c r="W83" i="13" s="1"/>
  <c r="X83" i="13" s="1"/>
  <c r="Y83" i="13" s="1"/>
  <c r="Z83" i="13" s="1"/>
  <c r="AA83" i="13" s="1"/>
  <c r="AB83" i="13" s="1"/>
  <c r="AC83" i="13" s="1"/>
  <c r="AD83" i="13" s="1"/>
  <c r="AE83" i="13" s="1"/>
  <c r="AF83" i="13" s="1"/>
  <c r="AG83" i="13" s="1"/>
  <c r="AH83" i="13" s="1"/>
  <c r="AI83" i="13" s="1"/>
  <c r="AJ83" i="13" s="1"/>
  <c r="AK83" i="13" s="1"/>
  <c r="AL83" i="13" s="1"/>
  <c r="AM83" i="13" s="1"/>
  <c r="AN83" i="13" s="1"/>
  <c r="AO83" i="13" s="1"/>
  <c r="G83" i="13"/>
  <c r="G82" i="13"/>
  <c r="H82" i="13" s="1"/>
  <c r="I82" i="13" s="1"/>
  <c r="J82" i="13" s="1"/>
  <c r="K82" i="13" s="1"/>
  <c r="L82" i="13" s="1"/>
  <c r="M82" i="13" s="1"/>
  <c r="N82" i="13" s="1"/>
  <c r="O82" i="13" s="1"/>
  <c r="P82" i="13" s="1"/>
  <c r="Q82" i="13" s="1"/>
  <c r="R82" i="13" s="1"/>
  <c r="S82" i="13" s="1"/>
  <c r="T82" i="13" s="1"/>
  <c r="U82" i="13" s="1"/>
  <c r="V82" i="13" s="1"/>
  <c r="I81" i="13"/>
  <c r="J81" i="13" s="1"/>
  <c r="K81" i="13" s="1"/>
  <c r="L81" i="13" s="1"/>
  <c r="M81" i="13" s="1"/>
  <c r="N81" i="13" s="1"/>
  <c r="O81" i="13" s="1"/>
  <c r="P81" i="13" s="1"/>
  <c r="R81" i="13"/>
  <c r="S81" i="13" s="1"/>
  <c r="T81" i="13" s="1"/>
  <c r="V81" i="13"/>
  <c r="W81" i="13" s="1"/>
  <c r="X81" i="13" s="1"/>
  <c r="Y81" i="13" s="1"/>
  <c r="Z81" i="13" s="1"/>
  <c r="AA81" i="13" s="1"/>
  <c r="AB81" i="13" s="1"/>
  <c r="AC81" i="13" s="1"/>
  <c r="AD81" i="13" s="1"/>
  <c r="AE81" i="13" s="1"/>
  <c r="AF81" i="13" s="1"/>
  <c r="AG81" i="13" s="1"/>
  <c r="AH81" i="13" s="1"/>
  <c r="AI81" i="13" s="1"/>
  <c r="AJ81" i="13" s="1"/>
  <c r="AK81" i="13" s="1"/>
  <c r="AL81" i="13" s="1"/>
  <c r="AM81" i="13" s="1"/>
  <c r="AN81" i="13" s="1"/>
  <c r="AO81" i="13" s="1"/>
  <c r="L80" i="13"/>
  <c r="K80" i="13"/>
  <c r="I80" i="13"/>
  <c r="M80" i="13"/>
  <c r="J80" i="13"/>
  <c r="H79" i="13"/>
  <c r="I79" i="13" s="1"/>
  <c r="J79" i="13" s="1"/>
  <c r="K79" i="13" s="1"/>
  <c r="L79" i="13" s="1"/>
  <c r="M79" i="13" s="1"/>
  <c r="N79" i="13" s="1"/>
  <c r="O79" i="13" s="1"/>
  <c r="P79" i="13" s="1"/>
  <c r="R79" i="13"/>
  <c r="S79" i="13" s="1"/>
  <c r="T79" i="13" s="1"/>
  <c r="V79" i="13"/>
  <c r="W79" i="13" s="1"/>
  <c r="X79" i="13" s="1"/>
  <c r="Y79" i="13" s="1"/>
  <c r="Z79" i="13" s="1"/>
  <c r="AA79" i="13" s="1"/>
  <c r="AB79" i="13" s="1"/>
  <c r="AC79" i="13" s="1"/>
  <c r="AD79" i="13" s="1"/>
  <c r="AE79" i="13" s="1"/>
  <c r="AF79" i="13" s="1"/>
  <c r="AG79" i="13" s="1"/>
  <c r="AH79" i="13" s="1"/>
  <c r="AI79" i="13" s="1"/>
  <c r="AJ79" i="13" s="1"/>
  <c r="AK79" i="13" s="1"/>
  <c r="AL79" i="13" s="1"/>
  <c r="AM79" i="13" s="1"/>
  <c r="AN79" i="13" s="1"/>
  <c r="AO79" i="13" s="1"/>
  <c r="M78" i="13"/>
  <c r="L78" i="13"/>
  <c r="K78" i="13"/>
  <c r="J78" i="13"/>
  <c r="H77" i="13"/>
  <c r="I77" i="13" s="1"/>
  <c r="J77" i="13" s="1"/>
  <c r="K77" i="13" s="1"/>
  <c r="L77" i="13" s="1"/>
  <c r="M77" i="13" s="1"/>
  <c r="N77" i="13" s="1"/>
  <c r="O77" i="13" s="1"/>
  <c r="P77" i="13" s="1"/>
  <c r="Q77" i="13" s="1"/>
  <c r="R77" i="13" s="1"/>
  <c r="S77" i="13" s="1"/>
  <c r="T77" i="13" s="1"/>
  <c r="U77" i="13" s="1"/>
  <c r="V77" i="13" s="1"/>
  <c r="W77" i="13" s="1"/>
  <c r="X77" i="13" s="1"/>
  <c r="Y77" i="13" s="1"/>
  <c r="Z77" i="13" s="1"/>
  <c r="AA77" i="13" s="1"/>
  <c r="AB77" i="13" s="1"/>
  <c r="AC77" i="13" s="1"/>
  <c r="AD77" i="13" s="1"/>
  <c r="AE77" i="13" s="1"/>
  <c r="AF77" i="13" s="1"/>
  <c r="AG77" i="13" s="1"/>
  <c r="AH77" i="13" s="1"/>
  <c r="AI77" i="13" s="1"/>
  <c r="AJ77" i="13" s="1"/>
  <c r="AK77" i="13" s="1"/>
  <c r="AL77" i="13" s="1"/>
  <c r="AM77" i="13" s="1"/>
  <c r="AN77" i="13" s="1"/>
  <c r="AO77" i="13" s="1"/>
  <c r="H76" i="13"/>
  <c r="I76" i="13" s="1"/>
  <c r="J76" i="13" s="1"/>
  <c r="K76" i="13" s="1"/>
  <c r="L76" i="13" s="1"/>
  <c r="M76" i="13" s="1"/>
  <c r="N76" i="13" s="1"/>
  <c r="O76" i="13" s="1"/>
  <c r="P76" i="13" s="1"/>
  <c r="R76" i="13"/>
  <c r="S76" i="13" s="1"/>
  <c r="T76" i="13" s="1"/>
  <c r="W76" i="13"/>
  <c r="X76" i="13" s="1"/>
  <c r="Y76" i="13" s="1"/>
  <c r="Z76" i="13" s="1"/>
  <c r="AA76" i="13" s="1"/>
  <c r="AB76" i="13" s="1"/>
  <c r="AC76" i="13" s="1"/>
  <c r="AD76" i="13" s="1"/>
  <c r="AE76" i="13" s="1"/>
  <c r="I75" i="13"/>
  <c r="J75" i="13" s="1"/>
  <c r="K75" i="13" s="1"/>
  <c r="L75" i="13" s="1"/>
  <c r="M75" i="13" s="1"/>
  <c r="N75" i="13" s="1"/>
  <c r="O75" i="13" s="1"/>
  <c r="P75" i="13" s="1"/>
  <c r="R75" i="13"/>
  <c r="S75" i="13" s="1"/>
  <c r="T75" i="13" s="1"/>
  <c r="V75" i="13"/>
  <c r="W75" i="13" s="1"/>
  <c r="X75" i="13" s="1"/>
  <c r="Y75" i="13" s="1"/>
  <c r="Z75" i="13" s="1"/>
  <c r="AA75" i="13" s="1"/>
  <c r="AB75" i="13" s="1"/>
  <c r="AC75" i="13" s="1"/>
  <c r="AD75" i="13" s="1"/>
  <c r="AE75" i="13" s="1"/>
  <c r="AF75" i="13" s="1"/>
  <c r="AG75" i="13" s="1"/>
  <c r="AH75" i="13" s="1"/>
  <c r="AI75" i="13" s="1"/>
  <c r="AJ75" i="13" s="1"/>
  <c r="AK75" i="13" s="1"/>
  <c r="AL75" i="13" s="1"/>
  <c r="AM75" i="13" s="1"/>
  <c r="AN75" i="13" s="1"/>
  <c r="AO75" i="13" s="1"/>
  <c r="G73" i="13"/>
  <c r="G72" i="13"/>
  <c r="H72" i="13" s="1"/>
  <c r="I72" i="13" s="1"/>
  <c r="J72" i="13" s="1"/>
  <c r="K72" i="13" s="1"/>
  <c r="L72" i="13" s="1"/>
  <c r="M72" i="13" s="1"/>
  <c r="N72" i="13" s="1"/>
  <c r="O72" i="13" s="1"/>
  <c r="P72" i="13" s="1"/>
  <c r="Q72" i="13" s="1"/>
  <c r="R72" i="13" s="1"/>
  <c r="S72" i="13" s="1"/>
  <c r="T72" i="13" s="1"/>
  <c r="G71" i="13"/>
  <c r="H71" i="13" s="1"/>
  <c r="I71" i="13" s="1"/>
  <c r="J71" i="13" s="1"/>
  <c r="K71" i="13" s="1"/>
  <c r="L71" i="13" s="1"/>
  <c r="M71" i="13" s="1"/>
  <c r="N71" i="13" s="1"/>
  <c r="O71" i="13" s="1"/>
  <c r="G65" i="13"/>
  <c r="H65" i="13" s="1"/>
  <c r="I65" i="13" s="1"/>
  <c r="G64" i="13"/>
  <c r="G63" i="13"/>
  <c r="C39" i="5"/>
  <c r="R28" i="3"/>
  <c r="C19" i="3" s="1"/>
  <c r="D19" i="3" s="1"/>
  <c r="G31" i="6"/>
  <c r="G31" i="1" s="1"/>
  <c r="C35" i="6"/>
  <c r="C36" i="6"/>
  <c r="F39" i="6"/>
  <c r="H39" i="6"/>
  <c r="I39" i="6" s="1"/>
  <c r="J39" i="6" s="1"/>
  <c r="K39" i="6" s="1"/>
  <c r="D49" i="5"/>
  <c r="D56" i="5"/>
  <c r="E56" i="5" s="1"/>
  <c r="F56" i="5" s="1"/>
  <c r="G56" i="5" s="1"/>
  <c r="H56" i="5" s="1"/>
  <c r="D55" i="5"/>
  <c r="E55" i="5"/>
  <c r="F55" i="5" s="1"/>
  <c r="G55" i="5" s="1"/>
  <c r="H55" i="5" s="1"/>
  <c r="I55" i="5" s="1"/>
  <c r="J55" i="5" s="1"/>
  <c r="K55" i="5" s="1"/>
  <c r="K55" i="1" s="1"/>
  <c r="L50" i="4"/>
  <c r="L60" i="4" s="1"/>
  <c r="I50" i="4"/>
  <c r="I60" i="4" s="1"/>
  <c r="I62" i="4" s="1"/>
  <c r="F50" i="4"/>
  <c r="F60" i="4" s="1"/>
  <c r="D50" i="4"/>
  <c r="H55" i="3"/>
  <c r="I55" i="3" s="1"/>
  <c r="J55" i="3" s="1"/>
  <c r="K55" i="3" s="1"/>
  <c r="L55" i="3" s="1"/>
  <c r="H54" i="3"/>
  <c r="I54" i="3" s="1"/>
  <c r="H39" i="3"/>
  <c r="I39" i="3" s="1"/>
  <c r="J39" i="3" s="1"/>
  <c r="K39" i="3" s="1"/>
  <c r="L39" i="3" s="1"/>
  <c r="M39" i="3" s="1"/>
  <c r="N39" i="3" s="1"/>
  <c r="H53" i="3"/>
  <c r="H52" i="3"/>
  <c r="H50" i="3"/>
  <c r="I50" i="3" s="1"/>
  <c r="H51" i="3"/>
  <c r="I51" i="3" s="1"/>
  <c r="J51" i="3" s="1"/>
  <c r="K51" i="3" s="1"/>
  <c r="K51" i="1" s="1"/>
  <c r="C55" i="3"/>
  <c r="D55" i="3" s="1"/>
  <c r="C54" i="3"/>
  <c r="C53" i="3"/>
  <c r="D53" i="3" s="1"/>
  <c r="C52" i="3"/>
  <c r="C51" i="3"/>
  <c r="C50" i="3"/>
  <c r="C49" i="3"/>
  <c r="D49" i="3" s="1"/>
  <c r="H48" i="3"/>
  <c r="H48" i="1" s="1"/>
  <c r="C48" i="3"/>
  <c r="H47" i="3"/>
  <c r="H47" i="1" s="1"/>
  <c r="C47" i="3"/>
  <c r="H45" i="3"/>
  <c r="H45" i="1" s="1"/>
  <c r="C45" i="3"/>
  <c r="D45" i="3" s="1"/>
  <c r="H46" i="3"/>
  <c r="I46" i="3" s="1"/>
  <c r="C46" i="3"/>
  <c r="I59" i="3"/>
  <c r="I58" i="3"/>
  <c r="J58" i="3" s="1"/>
  <c r="J58" i="1" s="1"/>
  <c r="I57" i="3"/>
  <c r="J57" i="3" s="1"/>
  <c r="I49" i="3"/>
  <c r="J49" i="3" s="1"/>
  <c r="K49" i="3" s="1"/>
  <c r="L49" i="3" s="1"/>
  <c r="M49" i="3" s="1"/>
  <c r="N49" i="3" s="1"/>
  <c r="I48" i="3"/>
  <c r="I48" i="1" s="1"/>
  <c r="I47" i="3"/>
  <c r="J47" i="3" s="1"/>
  <c r="D59" i="3"/>
  <c r="E59" i="3" s="1"/>
  <c r="D58" i="3"/>
  <c r="E58" i="3" s="1"/>
  <c r="D57" i="3"/>
  <c r="E57" i="3" s="1"/>
  <c r="D54" i="3"/>
  <c r="D54" i="1" s="1"/>
  <c r="D51" i="3"/>
  <c r="E51" i="3" s="1"/>
  <c r="I44" i="3"/>
  <c r="J44" i="3" s="1"/>
  <c r="C44" i="3"/>
  <c r="D44" i="3" s="1"/>
  <c r="C43" i="3"/>
  <c r="D39" i="3"/>
  <c r="E39" i="3" s="1"/>
  <c r="D37" i="3"/>
  <c r="D37" i="1" s="1"/>
  <c r="C35" i="3"/>
  <c r="D35" i="3" s="1"/>
  <c r="E35" i="3" s="1"/>
  <c r="F35" i="3" s="1"/>
  <c r="G35" i="3" s="1"/>
  <c r="H35" i="3" s="1"/>
  <c r="I35" i="3" s="1"/>
  <c r="C36" i="3"/>
  <c r="D36" i="3" s="1"/>
  <c r="C54" i="1"/>
  <c r="D50" i="5"/>
  <c r="E50" i="5" s="1"/>
  <c r="F50" i="5" s="1"/>
  <c r="G50" i="5" s="1"/>
  <c r="H50" i="5" s="1"/>
  <c r="H50" i="1" s="1"/>
  <c r="C5" i="12"/>
  <c r="D5" i="12" s="1"/>
  <c r="E5" i="12" s="1"/>
  <c r="F5" i="12" s="1"/>
  <c r="G5" i="12" s="1"/>
  <c r="H5" i="12" s="1"/>
  <c r="I5" i="12" s="1"/>
  <c r="J5" i="12" s="1"/>
  <c r="K5" i="12" s="1"/>
  <c r="L5" i="12" s="1"/>
  <c r="M5" i="12" s="1"/>
  <c r="N5" i="12" s="1"/>
  <c r="C5" i="9"/>
  <c r="D5" i="9" s="1"/>
  <c r="E5" i="9" s="1"/>
  <c r="F5" i="9" s="1"/>
  <c r="G5" i="9" s="1"/>
  <c r="H5" i="9" s="1"/>
  <c r="I5" i="9" s="1"/>
  <c r="J5" i="9" s="1"/>
  <c r="K5" i="9" s="1"/>
  <c r="L5" i="9" s="1"/>
  <c r="M5" i="9" s="1"/>
  <c r="N5" i="9" s="1"/>
  <c r="C5" i="8"/>
  <c r="D5" i="8" s="1"/>
  <c r="E5" i="8" s="1"/>
  <c r="F5" i="8" s="1"/>
  <c r="G5" i="8" s="1"/>
  <c r="H5" i="8" s="1"/>
  <c r="I5" i="8" s="1"/>
  <c r="J5" i="8" s="1"/>
  <c r="K5" i="8" s="1"/>
  <c r="L5" i="8" s="1"/>
  <c r="M5" i="8" s="1"/>
  <c r="N5" i="8" s="1"/>
  <c r="C5" i="7"/>
  <c r="D5" i="7" s="1"/>
  <c r="E5" i="7" s="1"/>
  <c r="F5" i="7" s="1"/>
  <c r="G5" i="7" s="1"/>
  <c r="H5" i="7" s="1"/>
  <c r="I5" i="7" s="1"/>
  <c r="J5" i="7" s="1"/>
  <c r="K5" i="7" s="1"/>
  <c r="L5" i="7" s="1"/>
  <c r="M5" i="7" s="1"/>
  <c r="N5" i="7" s="1"/>
  <c r="C5" i="6"/>
  <c r="D5" i="6" s="1"/>
  <c r="E5" i="6" s="1"/>
  <c r="F5" i="6" s="1"/>
  <c r="G5" i="6" s="1"/>
  <c r="H5" i="6" s="1"/>
  <c r="I5" i="6" s="1"/>
  <c r="J5" i="6" s="1"/>
  <c r="K5" i="6" s="1"/>
  <c r="L5" i="6" s="1"/>
  <c r="M5" i="6" s="1"/>
  <c r="N5" i="6" s="1"/>
  <c r="C5" i="5"/>
  <c r="D5" i="5" s="1"/>
  <c r="E5" i="5" s="1"/>
  <c r="F5" i="5" s="1"/>
  <c r="G5" i="5" s="1"/>
  <c r="H5" i="5" s="1"/>
  <c r="I5" i="5" s="1"/>
  <c r="J5" i="5" s="1"/>
  <c r="K5" i="5" s="1"/>
  <c r="L5" i="5" s="1"/>
  <c r="M5" i="5" s="1"/>
  <c r="N5" i="5" s="1"/>
  <c r="C5" i="4"/>
  <c r="D5" i="4" s="1"/>
  <c r="E5" i="4" s="1"/>
  <c r="F5" i="4" s="1"/>
  <c r="G5" i="4" s="1"/>
  <c r="H5" i="4" s="1"/>
  <c r="I5" i="4" s="1"/>
  <c r="J5" i="4" s="1"/>
  <c r="K5" i="4" s="1"/>
  <c r="L5" i="4" s="1"/>
  <c r="M5" i="4" s="1"/>
  <c r="N5" i="4" s="1"/>
  <c r="C5" i="3"/>
  <c r="D5" i="3" s="1"/>
  <c r="E5" i="3" s="1"/>
  <c r="F5" i="3" s="1"/>
  <c r="G5" i="3" s="1"/>
  <c r="H5" i="3" s="1"/>
  <c r="I5" i="3" s="1"/>
  <c r="J5" i="3" s="1"/>
  <c r="K5" i="3" s="1"/>
  <c r="L5" i="3" s="1"/>
  <c r="M5" i="3" s="1"/>
  <c r="N5" i="3" s="1"/>
  <c r="C5" i="2"/>
  <c r="D5" i="2" s="1"/>
  <c r="E5" i="2" s="1"/>
  <c r="F5" i="2" s="1"/>
  <c r="G5" i="2" s="1"/>
  <c r="H5" i="2" s="1"/>
  <c r="I5" i="2" s="1"/>
  <c r="J5" i="2" s="1"/>
  <c r="K5" i="2" s="1"/>
  <c r="L5" i="2" s="1"/>
  <c r="M5" i="2" s="1"/>
  <c r="N5" i="2" s="1"/>
  <c r="A3" i="12"/>
  <c r="A3" i="9"/>
  <c r="A3" i="8"/>
  <c r="A3" i="7"/>
  <c r="A3" i="6"/>
  <c r="A3" i="5"/>
  <c r="A3" i="4"/>
  <c r="A3" i="3"/>
  <c r="H59" i="1"/>
  <c r="C59" i="1"/>
  <c r="I58" i="1"/>
  <c r="H58" i="1"/>
  <c r="D58" i="1"/>
  <c r="C58" i="1"/>
  <c r="H57" i="1"/>
  <c r="C57" i="1"/>
  <c r="C55" i="1"/>
  <c r="D51" i="1"/>
  <c r="C51" i="1"/>
  <c r="H46" i="1"/>
  <c r="H44" i="1"/>
  <c r="N38" i="1"/>
  <c r="M38" i="1"/>
  <c r="L38" i="1"/>
  <c r="K38" i="1"/>
  <c r="J38" i="1"/>
  <c r="I38" i="1"/>
  <c r="H38" i="1"/>
  <c r="G38" i="1"/>
  <c r="F38" i="1"/>
  <c r="E38" i="1"/>
  <c r="D38" i="1"/>
  <c r="C38" i="1"/>
  <c r="C37" i="1"/>
  <c r="N31" i="1"/>
  <c r="M31" i="1"/>
  <c r="L31" i="1"/>
  <c r="K31" i="1"/>
  <c r="J31" i="1"/>
  <c r="I31" i="1"/>
  <c r="H31" i="1"/>
  <c r="F31" i="1"/>
  <c r="E31" i="1"/>
  <c r="D31" i="1"/>
  <c r="C31" i="1"/>
  <c r="J65" i="12"/>
  <c r="O64" i="12"/>
  <c r="N60" i="12"/>
  <c r="M60" i="12"/>
  <c r="L60" i="12"/>
  <c r="K60" i="12"/>
  <c r="J60" i="12"/>
  <c r="I60" i="12"/>
  <c r="H60" i="12"/>
  <c r="G60" i="12"/>
  <c r="F60" i="12"/>
  <c r="E60" i="12"/>
  <c r="D60" i="12"/>
  <c r="C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39" i="12"/>
  <c r="B38" i="12"/>
  <c r="B37" i="12"/>
  <c r="B31" i="12"/>
  <c r="N28" i="12"/>
  <c r="N32" i="12" s="1"/>
  <c r="M28" i="12"/>
  <c r="M32" i="12" s="1"/>
  <c r="L28" i="12"/>
  <c r="L32" i="12" s="1"/>
  <c r="K28" i="12"/>
  <c r="K32" i="12" s="1"/>
  <c r="J28" i="12"/>
  <c r="J32" i="12" s="1"/>
  <c r="I28" i="12"/>
  <c r="I32" i="12" s="1"/>
  <c r="H28" i="12"/>
  <c r="H32" i="12"/>
  <c r="G28" i="12"/>
  <c r="G32" i="12" s="1"/>
  <c r="F28" i="12"/>
  <c r="F32" i="12" s="1"/>
  <c r="E28" i="12"/>
  <c r="E32" i="12" s="1"/>
  <c r="D28" i="12"/>
  <c r="D32" i="12" s="1"/>
  <c r="C28" i="12"/>
  <c r="C32" i="12" s="1"/>
  <c r="B27" i="12"/>
  <c r="B26" i="12"/>
  <c r="B25" i="12"/>
  <c r="B24" i="12"/>
  <c r="B23" i="12"/>
  <c r="B22" i="12"/>
  <c r="B21" i="12"/>
  <c r="B20" i="12"/>
  <c r="B19" i="12"/>
  <c r="B22" i="5"/>
  <c r="B21" i="5"/>
  <c r="B20" i="5"/>
  <c r="B19" i="5"/>
  <c r="B22" i="4"/>
  <c r="B21" i="4"/>
  <c r="B20" i="4"/>
  <c r="B19" i="4"/>
  <c r="N24" i="1"/>
  <c r="M24" i="1"/>
  <c r="L24" i="1"/>
  <c r="K24" i="1"/>
  <c r="J24" i="1"/>
  <c r="I24" i="1"/>
  <c r="H24" i="1"/>
  <c r="G24" i="1"/>
  <c r="F24" i="1"/>
  <c r="E24" i="1"/>
  <c r="D24" i="1"/>
  <c r="C24" i="1"/>
  <c r="N28" i="6"/>
  <c r="M28" i="6"/>
  <c r="M32" i="6" s="1"/>
  <c r="L28" i="6"/>
  <c r="L32" i="6" s="1"/>
  <c r="K28" i="6"/>
  <c r="J28" i="6"/>
  <c r="I28" i="6"/>
  <c r="I32" i="6" s="1"/>
  <c r="H28" i="6"/>
  <c r="H32" i="6" s="1"/>
  <c r="G28" i="6"/>
  <c r="F28" i="6"/>
  <c r="E28" i="6"/>
  <c r="E32" i="6" s="1"/>
  <c r="D28" i="6"/>
  <c r="C28" i="6"/>
  <c r="B31" i="6"/>
  <c r="N22" i="1"/>
  <c r="M22" i="1"/>
  <c r="L22" i="1"/>
  <c r="K22" i="1"/>
  <c r="J22" i="1"/>
  <c r="I22" i="1"/>
  <c r="H22" i="1"/>
  <c r="G22" i="1"/>
  <c r="F22" i="1"/>
  <c r="E22" i="1"/>
  <c r="D22" i="1"/>
  <c r="C22" i="1"/>
  <c r="B22" i="6"/>
  <c r="B21" i="6"/>
  <c r="B20" i="6"/>
  <c r="B19" i="6"/>
  <c r="B26" i="1"/>
  <c r="B23" i="1"/>
  <c r="N25" i="1"/>
  <c r="M25" i="1"/>
  <c r="L25" i="1"/>
  <c r="K25" i="1"/>
  <c r="J25" i="1"/>
  <c r="I25" i="1"/>
  <c r="H25" i="1"/>
  <c r="G25" i="1"/>
  <c r="F25" i="1"/>
  <c r="E25" i="1"/>
  <c r="D25" i="1"/>
  <c r="C25" i="1"/>
  <c r="B22" i="9"/>
  <c r="B21" i="9"/>
  <c r="B20" i="9"/>
  <c r="B19" i="9"/>
  <c r="B27" i="1"/>
  <c r="J65" i="9"/>
  <c r="B27" i="9"/>
  <c r="B56" i="9"/>
  <c r="B56" i="8"/>
  <c r="B56" i="7"/>
  <c r="B56" i="6"/>
  <c r="B56" i="4"/>
  <c r="B31" i="9"/>
  <c r="N28" i="9"/>
  <c r="N32" i="9" s="1"/>
  <c r="M28" i="9"/>
  <c r="M32" i="9" s="1"/>
  <c r="L28" i="9"/>
  <c r="L32" i="9" s="1"/>
  <c r="K28" i="9"/>
  <c r="K32" i="9" s="1"/>
  <c r="J28" i="9"/>
  <c r="J32" i="9" s="1"/>
  <c r="I28" i="9"/>
  <c r="I32" i="9" s="1"/>
  <c r="H28" i="9"/>
  <c r="H32" i="9" s="1"/>
  <c r="G28" i="9"/>
  <c r="G32" i="9" s="1"/>
  <c r="F28" i="9"/>
  <c r="F32" i="9" s="1"/>
  <c r="E28" i="9"/>
  <c r="E32" i="9"/>
  <c r="D28" i="9"/>
  <c r="D32" i="9" s="1"/>
  <c r="C28" i="9"/>
  <c r="C32" i="9" s="1"/>
  <c r="B26" i="9"/>
  <c r="B25" i="9"/>
  <c r="B24" i="9"/>
  <c r="B23" i="9"/>
  <c r="B31" i="8"/>
  <c r="N28" i="8"/>
  <c r="N32" i="8" s="1"/>
  <c r="M28" i="8"/>
  <c r="M32" i="8"/>
  <c r="L28" i="8"/>
  <c r="L32" i="8" s="1"/>
  <c r="K28" i="8"/>
  <c r="K32" i="8" s="1"/>
  <c r="J28" i="8"/>
  <c r="J32" i="8" s="1"/>
  <c r="I28" i="8"/>
  <c r="I32" i="8" s="1"/>
  <c r="H28" i="8"/>
  <c r="H32" i="8" s="1"/>
  <c r="G28" i="8"/>
  <c r="G32" i="8" s="1"/>
  <c r="F28" i="8"/>
  <c r="F32" i="8" s="1"/>
  <c r="E28" i="8"/>
  <c r="E32" i="8"/>
  <c r="D28" i="8"/>
  <c r="D32" i="8" s="1"/>
  <c r="C28" i="8"/>
  <c r="C32" i="8" s="1"/>
  <c r="B27" i="8"/>
  <c r="B26" i="8"/>
  <c r="B25" i="8"/>
  <c r="B24" i="8"/>
  <c r="B23" i="8"/>
  <c r="B31" i="7"/>
  <c r="N28" i="7"/>
  <c r="N32" i="7" s="1"/>
  <c r="M28" i="7"/>
  <c r="M32" i="7" s="1"/>
  <c r="L28" i="7"/>
  <c r="L32" i="7"/>
  <c r="K28" i="7"/>
  <c r="K32" i="7" s="1"/>
  <c r="J28" i="7"/>
  <c r="J32" i="7" s="1"/>
  <c r="I28" i="7"/>
  <c r="I32" i="7" s="1"/>
  <c r="H28" i="7"/>
  <c r="H32" i="7"/>
  <c r="G28" i="7"/>
  <c r="G32" i="7" s="1"/>
  <c r="F28" i="7"/>
  <c r="F32" i="7" s="1"/>
  <c r="E28" i="7"/>
  <c r="E32" i="7" s="1"/>
  <c r="D28" i="7"/>
  <c r="D32" i="7"/>
  <c r="C28" i="7"/>
  <c r="C32" i="7" s="1"/>
  <c r="B27" i="7"/>
  <c r="B26" i="7"/>
  <c r="B25" i="7"/>
  <c r="B24" i="7"/>
  <c r="B23" i="7"/>
  <c r="N32" i="6"/>
  <c r="K32" i="6"/>
  <c r="J32" i="6"/>
  <c r="G32" i="6"/>
  <c r="F32" i="6"/>
  <c r="C32" i="6"/>
  <c r="B27" i="6"/>
  <c r="B26" i="6"/>
  <c r="B25" i="6"/>
  <c r="B24" i="6"/>
  <c r="B23" i="6"/>
  <c r="B31" i="5"/>
  <c r="N28" i="5"/>
  <c r="N32" i="5" s="1"/>
  <c r="M28" i="5"/>
  <c r="M32" i="5" s="1"/>
  <c r="L28" i="5"/>
  <c r="L32" i="5" s="1"/>
  <c r="K28" i="5"/>
  <c r="K32" i="5" s="1"/>
  <c r="J28" i="5"/>
  <c r="J32" i="5" s="1"/>
  <c r="I28" i="5"/>
  <c r="I32" i="5" s="1"/>
  <c r="H28" i="5"/>
  <c r="H32" i="5" s="1"/>
  <c r="G28" i="5"/>
  <c r="G32" i="5" s="1"/>
  <c r="F28" i="5"/>
  <c r="F32" i="5" s="1"/>
  <c r="E28" i="5"/>
  <c r="E32" i="5" s="1"/>
  <c r="D28" i="5"/>
  <c r="D32" i="5" s="1"/>
  <c r="C28" i="5"/>
  <c r="C32" i="5" s="1"/>
  <c r="B27" i="5"/>
  <c r="B26" i="5"/>
  <c r="B25" i="5"/>
  <c r="B24" i="5"/>
  <c r="B23" i="5"/>
  <c r="B31" i="4"/>
  <c r="N28" i="4"/>
  <c r="N32" i="4" s="1"/>
  <c r="M28" i="4"/>
  <c r="M32" i="4" s="1"/>
  <c r="L28" i="4"/>
  <c r="L32" i="4" s="1"/>
  <c r="K28" i="4"/>
  <c r="K32" i="4" s="1"/>
  <c r="J28" i="4"/>
  <c r="J32" i="4" s="1"/>
  <c r="I28" i="4"/>
  <c r="I32" i="4" s="1"/>
  <c r="I68" i="4" s="1"/>
  <c r="H28" i="4"/>
  <c r="H32" i="4" s="1"/>
  <c r="G28" i="4"/>
  <c r="G32" i="4" s="1"/>
  <c r="F28" i="4"/>
  <c r="F32" i="4" s="1"/>
  <c r="E28" i="4"/>
  <c r="E32" i="4" s="1"/>
  <c r="D28" i="4"/>
  <c r="D32" i="4" s="1"/>
  <c r="C28" i="4"/>
  <c r="C32" i="4" s="1"/>
  <c r="B27" i="4"/>
  <c r="B26" i="4"/>
  <c r="B25" i="4"/>
  <c r="B24" i="4"/>
  <c r="B23" i="4"/>
  <c r="B31" i="3"/>
  <c r="B21" i="1"/>
  <c r="B20" i="1"/>
  <c r="N60" i="9"/>
  <c r="M60" i="9"/>
  <c r="L60" i="9"/>
  <c r="K60" i="9"/>
  <c r="J60" i="9"/>
  <c r="I60" i="9"/>
  <c r="H60" i="9"/>
  <c r="G60" i="9"/>
  <c r="F60" i="9"/>
  <c r="E60" i="9"/>
  <c r="D60" i="9"/>
  <c r="C60" i="9"/>
  <c r="B59" i="9"/>
  <c r="B58" i="9"/>
  <c r="B57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39" i="9"/>
  <c r="B38" i="9"/>
  <c r="B37" i="9"/>
  <c r="N60" i="8"/>
  <c r="M60" i="8"/>
  <c r="L60" i="8"/>
  <c r="K60" i="8"/>
  <c r="J60" i="8"/>
  <c r="I60" i="8"/>
  <c r="H60" i="8"/>
  <c r="G60" i="8"/>
  <c r="F60" i="8"/>
  <c r="E60" i="8"/>
  <c r="D60" i="8"/>
  <c r="C60" i="8"/>
  <c r="B59" i="8"/>
  <c r="B58" i="8"/>
  <c r="B57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N40" i="8"/>
  <c r="N62" i="8" s="1"/>
  <c r="M40" i="8"/>
  <c r="L40" i="8"/>
  <c r="K40" i="8"/>
  <c r="K62" i="8" s="1"/>
  <c r="J40" i="8"/>
  <c r="J62" i="8" s="1"/>
  <c r="I40" i="8"/>
  <c r="H40" i="8"/>
  <c r="G40" i="8"/>
  <c r="G62" i="8" s="1"/>
  <c r="F40" i="8"/>
  <c r="F62" i="8" s="1"/>
  <c r="F68" i="8" s="1"/>
  <c r="E40" i="8"/>
  <c r="D40" i="8"/>
  <c r="D62" i="8" s="1"/>
  <c r="C40" i="8"/>
  <c r="B39" i="8"/>
  <c r="B38" i="8"/>
  <c r="B37" i="8"/>
  <c r="B36" i="8"/>
  <c r="B35" i="8"/>
  <c r="N60" i="7"/>
  <c r="M60" i="7"/>
  <c r="L60" i="7"/>
  <c r="K60" i="7"/>
  <c r="J60" i="7"/>
  <c r="I60" i="7"/>
  <c r="H60" i="7"/>
  <c r="G60" i="7"/>
  <c r="F60" i="7"/>
  <c r="E60" i="7"/>
  <c r="D60" i="7"/>
  <c r="C60" i="7"/>
  <c r="B59" i="7"/>
  <c r="B58" i="7"/>
  <c r="B57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N40" i="7"/>
  <c r="M40" i="7"/>
  <c r="M64" i="7" s="1"/>
  <c r="M65" i="7" s="1"/>
  <c r="L40" i="7"/>
  <c r="K40" i="7"/>
  <c r="J40" i="7"/>
  <c r="I40" i="7"/>
  <c r="I62" i="7" s="1"/>
  <c r="I68" i="7" s="1"/>
  <c r="H40" i="7"/>
  <c r="G40" i="7"/>
  <c r="F40" i="7"/>
  <c r="E40" i="7"/>
  <c r="E64" i="7" s="1"/>
  <c r="E65" i="7" s="1"/>
  <c r="D40" i="7"/>
  <c r="D64" i="7" s="1"/>
  <c r="D65" i="7" s="1"/>
  <c r="C40" i="7"/>
  <c r="B39" i="7"/>
  <c r="B38" i="7"/>
  <c r="B37" i="7"/>
  <c r="B36" i="7"/>
  <c r="B35" i="7"/>
  <c r="N60" i="6"/>
  <c r="M60" i="6"/>
  <c r="L60" i="6"/>
  <c r="K60" i="6"/>
  <c r="J60" i="6"/>
  <c r="I60" i="6"/>
  <c r="H60" i="6"/>
  <c r="G60" i="6"/>
  <c r="F60" i="6"/>
  <c r="E60" i="6"/>
  <c r="D60" i="6"/>
  <c r="C60" i="6"/>
  <c r="B59" i="6"/>
  <c r="B58" i="6"/>
  <c r="B57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C40" i="6"/>
  <c r="B38" i="6"/>
  <c r="B37" i="6"/>
  <c r="C60" i="5"/>
  <c r="B59" i="5"/>
  <c r="B58" i="5"/>
  <c r="B57" i="5"/>
  <c r="B54" i="5"/>
  <c r="B53" i="5"/>
  <c r="B52" i="5"/>
  <c r="B51" i="5"/>
  <c r="B48" i="5"/>
  <c r="B47" i="5"/>
  <c r="B46" i="5"/>
  <c r="B45" i="5"/>
  <c r="B44" i="5"/>
  <c r="B43" i="5"/>
  <c r="B38" i="5"/>
  <c r="B37" i="5"/>
  <c r="B36" i="5"/>
  <c r="B35" i="5"/>
  <c r="N60" i="4"/>
  <c r="M60" i="4"/>
  <c r="K60" i="4"/>
  <c r="J60" i="4"/>
  <c r="H60" i="4"/>
  <c r="G60" i="4"/>
  <c r="E60" i="4"/>
  <c r="C60" i="4"/>
  <c r="B59" i="4"/>
  <c r="B58" i="4"/>
  <c r="B57" i="4"/>
  <c r="B55" i="4"/>
  <c r="B54" i="4"/>
  <c r="B53" i="4"/>
  <c r="B52" i="4"/>
  <c r="B51" i="4"/>
  <c r="B49" i="4"/>
  <c r="B48" i="4"/>
  <c r="B47" i="4"/>
  <c r="B46" i="4"/>
  <c r="B45" i="4"/>
  <c r="B44" i="4"/>
  <c r="B43" i="4"/>
  <c r="B39" i="4"/>
  <c r="B38" i="4"/>
  <c r="B37" i="4"/>
  <c r="B38" i="3"/>
  <c r="C23" i="2"/>
  <c r="C30" i="2"/>
  <c r="N50" i="2"/>
  <c r="M50" i="2"/>
  <c r="L50" i="2"/>
  <c r="K50" i="2"/>
  <c r="J50" i="2"/>
  <c r="I50" i="2"/>
  <c r="H50" i="2"/>
  <c r="G50" i="2"/>
  <c r="F50" i="2"/>
  <c r="E50" i="2"/>
  <c r="D50" i="2"/>
  <c r="C50" i="2"/>
  <c r="N30" i="2"/>
  <c r="N52" i="2" s="1"/>
  <c r="M30" i="2"/>
  <c r="M52" i="2" s="1"/>
  <c r="L30" i="2"/>
  <c r="L52" i="2" s="1"/>
  <c r="K30" i="2"/>
  <c r="K52" i="2" s="1"/>
  <c r="J30" i="2"/>
  <c r="J52" i="2" s="1"/>
  <c r="I30" i="2"/>
  <c r="I52" i="2" s="1"/>
  <c r="H30" i="2"/>
  <c r="G30" i="2"/>
  <c r="G52" i="2" s="1"/>
  <c r="F30" i="2"/>
  <c r="F52" i="2" s="1"/>
  <c r="E30" i="2"/>
  <c r="E52" i="2" s="1"/>
  <c r="D30" i="2"/>
  <c r="B30" i="2"/>
  <c r="B50" i="2"/>
  <c r="D5" i="1"/>
  <c r="E5" i="1" s="1"/>
  <c r="F5" i="1" s="1"/>
  <c r="G5" i="1" s="1"/>
  <c r="H5" i="1" s="1"/>
  <c r="I5" i="1" s="1"/>
  <c r="J5" i="1" s="1"/>
  <c r="K5" i="1" s="1"/>
  <c r="L5" i="1" s="1"/>
  <c r="M5" i="1" s="1"/>
  <c r="N5" i="1" s="1"/>
  <c r="O64" i="8"/>
  <c r="O64" i="9"/>
  <c r="M40" i="9"/>
  <c r="E40" i="9"/>
  <c r="E62" i="9" s="1"/>
  <c r="F40" i="9"/>
  <c r="F62" i="9"/>
  <c r="K40" i="9"/>
  <c r="K62" i="9" s="1"/>
  <c r="D40" i="9"/>
  <c r="L40" i="9"/>
  <c r="I40" i="9"/>
  <c r="I62" i="9" s="1"/>
  <c r="N40" i="9"/>
  <c r="N62" i="9" s="1"/>
  <c r="H40" i="9"/>
  <c r="J40" i="9"/>
  <c r="J62" i="9" s="1"/>
  <c r="G40" i="9"/>
  <c r="G62" i="9" s="1"/>
  <c r="B35" i="9"/>
  <c r="B36" i="9"/>
  <c r="C40" i="9"/>
  <c r="C62" i="9" s="1"/>
  <c r="K40" i="4"/>
  <c r="E40" i="4"/>
  <c r="I40" i="4"/>
  <c r="M40" i="4"/>
  <c r="F40" i="4"/>
  <c r="J40" i="4"/>
  <c r="N40" i="4"/>
  <c r="B35" i="4"/>
  <c r="C40" i="4"/>
  <c r="C62" i="4" s="1"/>
  <c r="G40" i="4"/>
  <c r="D40" i="4"/>
  <c r="H40" i="4"/>
  <c r="H64" i="4" s="1"/>
  <c r="H65" i="4" s="1"/>
  <c r="L40" i="4"/>
  <c r="L64" i="4" s="1"/>
  <c r="L65" i="4" s="1"/>
  <c r="B36" i="4"/>
  <c r="G62" i="4"/>
  <c r="M62" i="4"/>
  <c r="C64" i="7"/>
  <c r="E45" i="3"/>
  <c r="E45" i="1" s="1"/>
  <c r="D45" i="1"/>
  <c r="J51" i="1"/>
  <c r="C62" i="7"/>
  <c r="M55" i="3"/>
  <c r="N55" i="3" s="1"/>
  <c r="I63" i="13"/>
  <c r="J63" i="13" s="1"/>
  <c r="K63" i="13" s="1"/>
  <c r="L63" i="13" s="1"/>
  <c r="M63" i="13" s="1"/>
  <c r="G58" i="13"/>
  <c r="H23" i="13"/>
  <c r="I23" i="13" s="1"/>
  <c r="H58" i="13"/>
  <c r="I58" i="13"/>
  <c r="K45" i="13"/>
  <c r="P29" i="13"/>
  <c r="T101" i="13"/>
  <c r="P45" i="13"/>
  <c r="R45" i="13"/>
  <c r="T99" i="13"/>
  <c r="U99" i="13" s="1"/>
  <c r="V99" i="13" s="1"/>
  <c r="V73" i="13"/>
  <c r="W73" i="13" s="1"/>
  <c r="X73" i="13" s="1"/>
  <c r="Y73" i="13" s="1"/>
  <c r="Z73" i="13" s="1"/>
  <c r="AA73" i="13" s="1"/>
  <c r="AB73" i="13" s="1"/>
  <c r="AC73" i="13" s="1"/>
  <c r="AD73" i="13" s="1"/>
  <c r="AE73" i="13" s="1"/>
  <c r="AF73" i="13" s="1"/>
  <c r="AG73" i="13" s="1"/>
  <c r="AH73" i="13" s="1"/>
  <c r="AI73" i="13" s="1"/>
  <c r="AJ73" i="13" s="1"/>
  <c r="AK73" i="13" s="1"/>
  <c r="AL73" i="13" s="1"/>
  <c r="AM73" i="13" s="1"/>
  <c r="AN73" i="13" s="1"/>
  <c r="AO73" i="13" s="1"/>
  <c r="V94" i="13"/>
  <c r="W98" i="13" s="1"/>
  <c r="V47" i="13"/>
  <c r="W47" i="13" s="1"/>
  <c r="X94" i="13"/>
  <c r="X128" i="13" s="1"/>
  <c r="Y128" i="13" s="1"/>
  <c r="Z128" i="13" s="1"/>
  <c r="AA128" i="13" s="1"/>
  <c r="AC128" i="13" s="1"/>
  <c r="AD128" i="13" s="1"/>
  <c r="AE128" i="13" s="1"/>
  <c r="AQ111" i="13"/>
  <c r="U114" i="13"/>
  <c r="V114" i="13"/>
  <c r="V74" i="13"/>
  <c r="W74" i="13" s="1"/>
  <c r="X74" i="13" s="1"/>
  <c r="Y74" i="13" s="1"/>
  <c r="Z74" i="13" s="1"/>
  <c r="AA74" i="13" s="1"/>
  <c r="AB74" i="13" s="1"/>
  <c r="AC74" i="13" s="1"/>
  <c r="AD74" i="13" s="1"/>
  <c r="AF74" i="13" s="1"/>
  <c r="AG74" i="13" s="1"/>
  <c r="AH74" i="13" s="1"/>
  <c r="AI74" i="13" s="1"/>
  <c r="AJ74" i="13" s="1"/>
  <c r="AK74" i="13" s="1"/>
  <c r="AL74" i="13" s="1"/>
  <c r="AM74" i="13" s="1"/>
  <c r="AN74" i="13" s="1"/>
  <c r="AO74" i="13" s="1"/>
  <c r="V64" i="13"/>
  <c r="W64" i="13" s="1"/>
  <c r="X64" i="13" s="1"/>
  <c r="Y64" i="13" s="1"/>
  <c r="Z64" i="13" s="1"/>
  <c r="AA64" i="13" s="1"/>
  <c r="AB64" i="13" s="1"/>
  <c r="AC64" i="13" s="1"/>
  <c r="AH64" i="13" s="1"/>
  <c r="AI64" i="13" s="1"/>
  <c r="AJ64" i="13" s="1"/>
  <c r="X103" i="13"/>
  <c r="X98" i="13"/>
  <c r="W71" i="13"/>
  <c r="X71" i="13" s="1"/>
  <c r="Y71" i="13" s="1"/>
  <c r="Z71" i="13" s="1"/>
  <c r="Z43" i="13"/>
  <c r="AA43" i="13" s="1"/>
  <c r="AB43" i="13" s="1"/>
  <c r="AC43" i="13" s="1"/>
  <c r="AD43" i="13" s="1"/>
  <c r="AE43" i="13" s="1"/>
  <c r="AF43" i="13" s="1"/>
  <c r="AG43" i="13" s="1"/>
  <c r="AH43" i="13" s="1"/>
  <c r="AI43" i="13" s="1"/>
  <c r="AJ43" i="13" s="1"/>
  <c r="AK43" i="13" s="1"/>
  <c r="AL43" i="13" s="1"/>
  <c r="AM43" i="13" s="1"/>
  <c r="AN43" i="13" s="1"/>
  <c r="AO43" i="13" s="1"/>
  <c r="W72" i="13"/>
  <c r="X72" i="13" s="1"/>
  <c r="Y72" i="13" s="1"/>
  <c r="Z72" i="13" s="1"/>
  <c r="AA72" i="13" s="1"/>
  <c r="AB72" i="13" s="1"/>
  <c r="AC72" i="13" s="1"/>
  <c r="AD72" i="13" s="1"/>
  <c r="AE72" i="13" s="1"/>
  <c r="AF72" i="13" s="1"/>
  <c r="AG72" i="13" s="1"/>
  <c r="AH72" i="13" s="1"/>
  <c r="AI72" i="13" s="1"/>
  <c r="AJ72" i="13" s="1"/>
  <c r="AK72" i="13" s="1"/>
  <c r="AL72" i="13" s="1"/>
  <c r="AM72" i="13" s="1"/>
  <c r="AN72" i="13" s="1"/>
  <c r="AO72" i="13" s="1"/>
  <c r="W114" i="13"/>
  <c r="Z98" i="13"/>
  <c r="AA52" i="13"/>
  <c r="AB52" i="13" s="1"/>
  <c r="AD52" i="13" s="1"/>
  <c r="AF52" i="13" s="1"/>
  <c r="AG52" i="13" s="1"/>
  <c r="AK52" i="13" s="1"/>
  <c r="AL52" i="13" s="1"/>
  <c r="AM52" i="13" s="1"/>
  <c r="AN52" i="13" s="1"/>
  <c r="AO52" i="13" s="1"/>
  <c r="Z102" i="13"/>
  <c r="Y31" i="13"/>
  <c r="Z31" i="13" s="1"/>
  <c r="AA102" i="13"/>
  <c r="AB102" i="13"/>
  <c r="AB98" i="13"/>
  <c r="X102" i="13"/>
  <c r="Y102" i="13"/>
  <c r="AC102" i="13"/>
  <c r="C52" i="2"/>
  <c r="G64" i="7"/>
  <c r="G65" i="7" s="1"/>
  <c r="G62" i="7"/>
  <c r="G68" i="7" s="1"/>
  <c r="K64" i="7"/>
  <c r="K65" i="7" s="1"/>
  <c r="K62" i="7"/>
  <c r="C43" i="1"/>
  <c r="C45" i="1"/>
  <c r="D35" i="6"/>
  <c r="E35" i="6" s="1"/>
  <c r="F35" i="6" s="1"/>
  <c r="J54" i="3" l="1"/>
  <c r="I54" i="1"/>
  <c r="J57" i="1"/>
  <c r="K57" i="3"/>
  <c r="E55" i="3"/>
  <c r="D55" i="1"/>
  <c r="M62" i="7"/>
  <c r="M68" i="7" s="1"/>
  <c r="H19" i="3"/>
  <c r="L62" i="9"/>
  <c r="G64" i="4"/>
  <c r="G65" i="4" s="1"/>
  <c r="I45" i="3"/>
  <c r="AQ104" i="13"/>
  <c r="H56" i="1"/>
  <c r="C56" i="3"/>
  <c r="D56" i="3" s="1"/>
  <c r="H62" i="9"/>
  <c r="B40" i="8"/>
  <c r="E62" i="8"/>
  <c r="E68" i="8" s="1"/>
  <c r="M68" i="4"/>
  <c r="H54" i="1"/>
  <c r="H56" i="3"/>
  <c r="I56" i="3" s="1"/>
  <c r="J56" i="3" s="1"/>
  <c r="K56" i="3" s="1"/>
  <c r="L56" i="3" s="1"/>
  <c r="E62" i="4"/>
  <c r="D52" i="2"/>
  <c r="C56" i="2"/>
  <c r="D19" i="2" s="1"/>
  <c r="D23" i="2" s="1"/>
  <c r="D56" i="2" s="1"/>
  <c r="E19" i="2" s="1"/>
  <c r="E23" i="2" s="1"/>
  <c r="E56" i="2" s="1"/>
  <c r="F19" i="2" s="1"/>
  <c r="F23" i="2" s="1"/>
  <c r="F56" i="2" s="1"/>
  <c r="G19" i="2" s="1"/>
  <c r="G23" i="2" s="1"/>
  <c r="G56" i="2" s="1"/>
  <c r="H19" i="2" s="1"/>
  <c r="H23" i="2" s="1"/>
  <c r="C62" i="8"/>
  <c r="C68" i="8" s="1"/>
  <c r="B28" i="6"/>
  <c r="I57" i="1"/>
  <c r="D28" i="3"/>
  <c r="D32" i="3" s="1"/>
  <c r="D19" i="1"/>
  <c r="E19" i="3"/>
  <c r="F62" i="4"/>
  <c r="F68" i="4" s="1"/>
  <c r="J44" i="1"/>
  <c r="K44" i="3"/>
  <c r="E59" i="1"/>
  <c r="F59" i="3"/>
  <c r="D49" i="1"/>
  <c r="E49" i="3"/>
  <c r="F49" i="3" s="1"/>
  <c r="E53" i="3"/>
  <c r="D53" i="1"/>
  <c r="H56" i="2"/>
  <c r="I19" i="2" s="1"/>
  <c r="I23" i="2" s="1"/>
  <c r="I56" i="2" s="1"/>
  <c r="J19" i="2" s="1"/>
  <c r="J23" i="2" s="1"/>
  <c r="J56" i="2" s="1"/>
  <c r="K19" i="2" s="1"/>
  <c r="K23" i="2" s="1"/>
  <c r="K56" i="2" s="1"/>
  <c r="L19" i="2" s="1"/>
  <c r="L23" i="2" s="1"/>
  <c r="L56" i="2" s="1"/>
  <c r="M19" i="2" s="1"/>
  <c r="M23" i="2" s="1"/>
  <c r="M56" i="2" s="1"/>
  <c r="N19" i="2" s="1"/>
  <c r="N23" i="2" s="1"/>
  <c r="N56" i="2" s="1"/>
  <c r="E51" i="1"/>
  <c r="F51" i="3"/>
  <c r="F58" i="3"/>
  <c r="E58" i="1"/>
  <c r="J46" i="3"/>
  <c r="J46" i="1" s="1"/>
  <c r="I46" i="1"/>
  <c r="I47" i="1"/>
  <c r="F64" i="4"/>
  <c r="F65" i="4" s="1"/>
  <c r="C28" i="3"/>
  <c r="C32" i="3" s="1"/>
  <c r="I55" i="1"/>
  <c r="I64" i="7"/>
  <c r="I65" i="7" s="1"/>
  <c r="Y98" i="13"/>
  <c r="C19" i="1"/>
  <c r="F45" i="3"/>
  <c r="K58" i="3"/>
  <c r="C64" i="4"/>
  <c r="C65" i="4" s="1"/>
  <c r="E64" i="4"/>
  <c r="E65" i="4" s="1"/>
  <c r="B40" i="9"/>
  <c r="H52" i="2"/>
  <c r="I64" i="4"/>
  <c r="I65" i="4" s="1"/>
  <c r="N64" i="4"/>
  <c r="N65" i="4" s="1"/>
  <c r="B60" i="6"/>
  <c r="H62" i="8"/>
  <c r="L62" i="8"/>
  <c r="L68" i="8" s="1"/>
  <c r="B28" i="12"/>
  <c r="B32" i="12" s="1"/>
  <c r="B60" i="12"/>
  <c r="I44" i="1"/>
  <c r="D57" i="1"/>
  <c r="D59" i="1"/>
  <c r="E54" i="3"/>
  <c r="H51" i="1"/>
  <c r="J55" i="1"/>
  <c r="E62" i="7"/>
  <c r="E68" i="7" s="1"/>
  <c r="E68" i="4"/>
  <c r="C56" i="1"/>
  <c r="H55" i="1"/>
  <c r="M62" i="9"/>
  <c r="B52" i="2"/>
  <c r="C40" i="3"/>
  <c r="H62" i="4"/>
  <c r="H68" i="4" s="1"/>
  <c r="J68" i="8"/>
  <c r="I62" i="8"/>
  <c r="B28" i="9"/>
  <c r="B32" i="9" s="1"/>
  <c r="I51" i="1"/>
  <c r="E37" i="3"/>
  <c r="J48" i="3"/>
  <c r="K48" i="3" s="1"/>
  <c r="M64" i="4"/>
  <c r="M65" i="4" s="1"/>
  <c r="C68" i="4"/>
  <c r="G68" i="4"/>
  <c r="B28" i="7"/>
  <c r="B32" i="7" s="1"/>
  <c r="C49" i="1"/>
  <c r="C53" i="1"/>
  <c r="L62" i="4"/>
  <c r="L68" i="4" s="1"/>
  <c r="AN95" i="14"/>
  <c r="AN96" i="14" s="1"/>
  <c r="AO49" i="14" s="1"/>
  <c r="AO78" i="14"/>
  <c r="AV28" i="14"/>
  <c r="AL98" i="14"/>
  <c r="AK67" i="13"/>
  <c r="AM67" i="13" s="1"/>
  <c r="AO67" i="13" s="1"/>
  <c r="AL67" i="13"/>
  <c r="AN67" i="13" s="1"/>
  <c r="AL64" i="13"/>
  <c r="AN64" i="13" s="1"/>
  <c r="AK64" i="13"/>
  <c r="AM64" i="13" s="1"/>
  <c r="AO64" i="13" s="1"/>
  <c r="X114" i="13"/>
  <c r="AF76" i="13"/>
  <c r="AG76" i="13"/>
  <c r="AH76" i="13" s="1"/>
  <c r="AI76" i="13" s="1"/>
  <c r="AJ76" i="13" s="1"/>
  <c r="AK76" i="13" s="1"/>
  <c r="AL76" i="13" s="1"/>
  <c r="AM76" i="13" s="1"/>
  <c r="AN76" i="13" s="1"/>
  <c r="AO76" i="13" s="1"/>
  <c r="D28" i="1"/>
  <c r="D32" i="1" s="1"/>
  <c r="B22" i="1"/>
  <c r="B24" i="1"/>
  <c r="I113" i="13"/>
  <c r="J113" i="13" s="1"/>
  <c r="J119" i="13" s="1"/>
  <c r="G119" i="13"/>
  <c r="AQ106" i="13"/>
  <c r="W38" i="13"/>
  <c r="X127" i="13"/>
  <c r="Y127" i="13" s="1"/>
  <c r="AQ105" i="13"/>
  <c r="K20" i="13"/>
  <c r="G68" i="13"/>
  <c r="H68" i="13"/>
  <c r="AF128" i="13"/>
  <c r="AG128" i="13" s="1"/>
  <c r="AH128" i="13" s="1"/>
  <c r="AI128" i="13" s="1"/>
  <c r="AJ128" i="13" s="1"/>
  <c r="AK128" i="13" s="1"/>
  <c r="AL128" i="13" s="1"/>
  <c r="AM128" i="13" s="1"/>
  <c r="AN128" i="13" s="1"/>
  <c r="AO128" i="13" s="1"/>
  <c r="G22" i="13"/>
  <c r="G39" i="13" s="1"/>
  <c r="G60" i="13" s="1"/>
  <c r="N39" i="13"/>
  <c r="Y44" i="13"/>
  <c r="Z17" i="13"/>
  <c r="AQ103" i="13"/>
  <c r="W44" i="13"/>
  <c r="F88" i="13"/>
  <c r="F89" i="13" s="1"/>
  <c r="AG31" i="13"/>
  <c r="AH31" i="13" s="1"/>
  <c r="AI31" i="13" s="1"/>
  <c r="AJ31" i="13" s="1"/>
  <c r="AK31" i="13" s="1"/>
  <c r="AL31" i="13" s="1"/>
  <c r="AM31" i="13" s="1"/>
  <c r="AN31" i="13" s="1"/>
  <c r="AO31" i="13" s="1"/>
  <c r="Y89" i="13"/>
  <c r="Q38" i="13"/>
  <c r="Q39" i="13" s="1"/>
  <c r="H119" i="13"/>
  <c r="B31" i="1"/>
  <c r="C28" i="1"/>
  <c r="C32" i="1" s="1"/>
  <c r="K58" i="13"/>
  <c r="L53" i="13"/>
  <c r="M53" i="13" s="1"/>
  <c r="N53" i="13" s="1"/>
  <c r="T27" i="13"/>
  <c r="S38" i="13"/>
  <c r="G35" i="6"/>
  <c r="W82" i="13"/>
  <c r="X82" i="13" s="1"/>
  <c r="Y82" i="13" s="1"/>
  <c r="Z82" i="13" s="1"/>
  <c r="AA82" i="13" s="1"/>
  <c r="AB82" i="13" s="1"/>
  <c r="AC82" i="13" s="1"/>
  <c r="AD82" i="13" s="1"/>
  <c r="AE82" i="13" s="1"/>
  <c r="AF82" i="13" s="1"/>
  <c r="AG82" i="13" s="1"/>
  <c r="AH82" i="13" s="1"/>
  <c r="AI82" i="13" s="1"/>
  <c r="AJ82" i="13" s="1"/>
  <c r="AK82" i="13" s="1"/>
  <c r="AL82" i="13" s="1"/>
  <c r="AM82" i="13" s="1"/>
  <c r="AN82" i="13" s="1"/>
  <c r="AO82" i="13" s="1"/>
  <c r="V88" i="13"/>
  <c r="R64" i="13"/>
  <c r="S64" i="13" s="1"/>
  <c r="T64" i="13" s="1"/>
  <c r="U88" i="13"/>
  <c r="L39" i="6"/>
  <c r="M39" i="6" s="1"/>
  <c r="N39" i="6" s="1"/>
  <c r="H62" i="7"/>
  <c r="H68" i="7" s="1"/>
  <c r="H64" i="7"/>
  <c r="H65" i="7" s="1"/>
  <c r="L62" i="7"/>
  <c r="L68" i="7" s="1"/>
  <c r="L64" i="7"/>
  <c r="L65" i="7" s="1"/>
  <c r="D62" i="7"/>
  <c r="B32" i="6"/>
  <c r="T31" i="13"/>
  <c r="U31" i="13" s="1"/>
  <c r="W46" i="13"/>
  <c r="X46" i="13" s="1"/>
  <c r="AA51" i="13"/>
  <c r="AB51" i="13"/>
  <c r="P71" i="13"/>
  <c r="AA71" i="13"/>
  <c r="C64" i="6"/>
  <c r="C62" i="6"/>
  <c r="D32" i="6"/>
  <c r="C68" i="7"/>
  <c r="K68" i="7"/>
  <c r="H68" i="8"/>
  <c r="K68" i="8"/>
  <c r="C68" i="9"/>
  <c r="H73" i="13"/>
  <c r="G88" i="13"/>
  <c r="S71" i="13"/>
  <c r="N63" i="13"/>
  <c r="I68" i="13"/>
  <c r="J65" i="13"/>
  <c r="N101" i="13"/>
  <c r="L51" i="3"/>
  <c r="C65" i="7"/>
  <c r="J64" i="4"/>
  <c r="J65" i="4" s="1"/>
  <c r="J62" i="4"/>
  <c r="J68" i="4" s="1"/>
  <c r="C46" i="1"/>
  <c r="D46" i="3"/>
  <c r="D47" i="3"/>
  <c r="C47" i="1"/>
  <c r="C52" i="1"/>
  <c r="D52" i="3"/>
  <c r="H53" i="1"/>
  <c r="I53" i="3"/>
  <c r="B50" i="4"/>
  <c r="B60" i="4" s="1"/>
  <c r="D60" i="4"/>
  <c r="V90" i="13"/>
  <c r="V102" i="13" s="1"/>
  <c r="W99" i="13"/>
  <c r="J50" i="3"/>
  <c r="H22" i="13"/>
  <c r="H39" i="13" s="1"/>
  <c r="H60" i="13" s="1"/>
  <c r="M56" i="3"/>
  <c r="L55" i="5"/>
  <c r="K62" i="4"/>
  <c r="K68" i="4" s="1"/>
  <c r="K64" i="4"/>
  <c r="K65" i="4" s="1"/>
  <c r="E36" i="3"/>
  <c r="D40" i="3"/>
  <c r="E44" i="3"/>
  <c r="D44" i="1"/>
  <c r="J45" i="3"/>
  <c r="I45" i="1"/>
  <c r="L48" i="3"/>
  <c r="K48" i="1"/>
  <c r="M27" i="13"/>
  <c r="L38" i="13"/>
  <c r="L39" i="13" s="1"/>
  <c r="U101" i="13"/>
  <c r="U25" i="13"/>
  <c r="I50" i="5"/>
  <c r="J50" i="5" s="1"/>
  <c r="K50" i="5" s="1"/>
  <c r="L50" i="5" s="1"/>
  <c r="M50" i="5" s="1"/>
  <c r="N50" i="5" s="1"/>
  <c r="B50" i="5"/>
  <c r="J35" i="3"/>
  <c r="J48" i="1"/>
  <c r="B60" i="9"/>
  <c r="C44" i="1"/>
  <c r="F39" i="3"/>
  <c r="V33" i="13"/>
  <c r="B40" i="7"/>
  <c r="F64" i="7"/>
  <c r="F65" i="7" s="1"/>
  <c r="F62" i="7"/>
  <c r="F68" i="7" s="1"/>
  <c r="J62" i="7"/>
  <c r="J68" i="7" s="1"/>
  <c r="J64" i="7"/>
  <c r="J65" i="7" s="1"/>
  <c r="N64" i="7"/>
  <c r="N65" i="7" s="1"/>
  <c r="N62" i="7"/>
  <c r="N68" i="7" s="1"/>
  <c r="K54" i="3"/>
  <c r="J54" i="1"/>
  <c r="C50" i="1"/>
  <c r="D50" i="3"/>
  <c r="E49" i="5"/>
  <c r="D60" i="5"/>
  <c r="D36" i="6"/>
  <c r="D36" i="1" s="1"/>
  <c r="C36" i="12"/>
  <c r="D36" i="12" s="1"/>
  <c r="E36" i="12" s="1"/>
  <c r="Q108" i="13"/>
  <c r="J58" i="13"/>
  <c r="B28" i="5"/>
  <c r="B32" i="5" s="1"/>
  <c r="D43" i="3"/>
  <c r="C60" i="3"/>
  <c r="C62" i="3" s="1"/>
  <c r="F54" i="3"/>
  <c r="E54" i="1"/>
  <c r="E57" i="1"/>
  <c r="F57" i="3"/>
  <c r="J47" i="1"/>
  <c r="K47" i="3"/>
  <c r="J59" i="3"/>
  <c r="I59" i="1"/>
  <c r="H52" i="1"/>
  <c r="I52" i="3"/>
  <c r="I56" i="5"/>
  <c r="D39" i="5"/>
  <c r="C39" i="1"/>
  <c r="C40" i="5"/>
  <c r="R38" i="13"/>
  <c r="G45" i="3"/>
  <c r="F45" i="1"/>
  <c r="D62" i="9"/>
  <c r="B60" i="7"/>
  <c r="I68" i="8"/>
  <c r="N68" i="8"/>
  <c r="I119" i="13"/>
  <c r="B40" i="4"/>
  <c r="D68" i="8"/>
  <c r="G68" i="8"/>
  <c r="E55" i="1"/>
  <c r="F55" i="3"/>
  <c r="N62" i="4"/>
  <c r="N68" i="4" s="1"/>
  <c r="M62" i="8"/>
  <c r="M68" i="8" s="1"/>
  <c r="B60" i="8"/>
  <c r="B28" i="4"/>
  <c r="B32" i="4" s="1"/>
  <c r="B28" i="8"/>
  <c r="B32" i="8" s="1"/>
  <c r="B38" i="1"/>
  <c r="C48" i="1"/>
  <c r="D48" i="3"/>
  <c r="B25" i="1"/>
  <c r="C35" i="12"/>
  <c r="AE18" i="13"/>
  <c r="AF18" i="13" s="1"/>
  <c r="AG18" i="13" s="1"/>
  <c r="AH18" i="13" s="1"/>
  <c r="AI18" i="13" s="1"/>
  <c r="AJ18" i="13" s="1"/>
  <c r="AK18" i="13" s="1"/>
  <c r="AL18" i="13" s="1"/>
  <c r="AM18" i="13" s="1"/>
  <c r="AN18" i="13" s="1"/>
  <c r="AO18" i="13" s="1"/>
  <c r="H28" i="3" l="1"/>
  <c r="H32" i="3" s="1"/>
  <c r="H19" i="1"/>
  <c r="H28" i="1" s="1"/>
  <c r="H32" i="1" s="1"/>
  <c r="I19" i="3"/>
  <c r="L57" i="3"/>
  <c r="K57" i="1"/>
  <c r="B39" i="6"/>
  <c r="E56" i="3"/>
  <c r="D56" i="1"/>
  <c r="L44" i="3"/>
  <c r="K44" i="1"/>
  <c r="B68" i="8"/>
  <c r="K46" i="3"/>
  <c r="K46" i="1" s="1"/>
  <c r="E49" i="1"/>
  <c r="L58" i="3"/>
  <c r="K58" i="1"/>
  <c r="G58" i="3"/>
  <c r="G58" i="1" s="1"/>
  <c r="F58" i="1"/>
  <c r="F59" i="1"/>
  <c r="G59" i="3"/>
  <c r="G59" i="1" s="1"/>
  <c r="F37" i="3"/>
  <c r="E37" i="1"/>
  <c r="E28" i="3"/>
  <c r="E32" i="3" s="1"/>
  <c r="E19" i="1"/>
  <c r="E28" i="1" s="1"/>
  <c r="E32" i="1" s="1"/>
  <c r="F19" i="3"/>
  <c r="B62" i="9"/>
  <c r="B68" i="9" s="1"/>
  <c r="B64" i="4"/>
  <c r="B62" i="7"/>
  <c r="G51" i="3"/>
  <c r="G51" i="1" s="1"/>
  <c r="F51" i="1"/>
  <c r="F53" i="3"/>
  <c r="E53" i="1"/>
  <c r="AO95" i="14"/>
  <c r="AO96" i="14" s="1"/>
  <c r="AP49" i="14" s="1"/>
  <c r="AP78" i="14"/>
  <c r="AV44" i="14"/>
  <c r="AW28" i="14"/>
  <c r="AV106" i="14"/>
  <c r="AW106" i="14" s="1"/>
  <c r="AX106" i="14" s="1"/>
  <c r="AX127" i="14" s="1"/>
  <c r="AX129" i="14" s="1"/>
  <c r="AK32" i="13"/>
  <c r="AL32" i="13" s="1"/>
  <c r="AM32" i="13" s="1"/>
  <c r="AN32" i="13" s="1"/>
  <c r="AO32" i="13" s="1"/>
  <c r="AJ45" i="13"/>
  <c r="AK45" i="13" s="1"/>
  <c r="AL45" i="13" s="1"/>
  <c r="AM45" i="13" s="1"/>
  <c r="AN45" i="13" s="1"/>
  <c r="AO45" i="13" s="1"/>
  <c r="M58" i="13"/>
  <c r="G89" i="13"/>
  <c r="G90" i="13" s="1"/>
  <c r="Z88" i="13"/>
  <c r="W88" i="13"/>
  <c r="Y91" i="13"/>
  <c r="Z89" i="13"/>
  <c r="T38" i="13"/>
  <c r="U38" i="13"/>
  <c r="Y114" i="13"/>
  <c r="N58" i="13"/>
  <c r="N60" i="13" s="1"/>
  <c r="O53" i="13"/>
  <c r="P53" i="13" s="1"/>
  <c r="C62" i="5"/>
  <c r="C64" i="5"/>
  <c r="J56" i="5"/>
  <c r="I56" i="1"/>
  <c r="J59" i="1"/>
  <c r="K59" i="3"/>
  <c r="K54" i="1"/>
  <c r="L54" i="3"/>
  <c r="U67" i="13"/>
  <c r="V101" i="13"/>
  <c r="L55" i="1"/>
  <c r="M55" i="5"/>
  <c r="K50" i="3"/>
  <c r="J50" i="1"/>
  <c r="E46" i="3"/>
  <c r="D46" i="1"/>
  <c r="L51" i="1"/>
  <c r="M51" i="3"/>
  <c r="O25" i="13"/>
  <c r="O63" i="13"/>
  <c r="I73" i="13"/>
  <c r="H88" i="13"/>
  <c r="H89" i="13" s="1"/>
  <c r="R39" i="13"/>
  <c r="C68" i="6"/>
  <c r="J52" i="3"/>
  <c r="I52" i="1"/>
  <c r="L47" i="3"/>
  <c r="K47" i="1"/>
  <c r="D60" i="3"/>
  <c r="D64" i="3" s="1"/>
  <c r="D65" i="3" s="1"/>
  <c r="E43" i="3"/>
  <c r="D43" i="1"/>
  <c r="E36" i="6"/>
  <c r="D40" i="6"/>
  <c r="E50" i="3"/>
  <c r="D50" i="1"/>
  <c r="K45" i="3"/>
  <c r="J45" i="1"/>
  <c r="N56" i="3"/>
  <c r="G49" i="3"/>
  <c r="B49" i="3"/>
  <c r="D64" i="4"/>
  <c r="D62" i="4"/>
  <c r="K65" i="13"/>
  <c r="J68" i="13"/>
  <c r="T71" i="13"/>
  <c r="C65" i="6"/>
  <c r="D35" i="12"/>
  <c r="C35" i="1"/>
  <c r="C40" i="12"/>
  <c r="C62" i="12" s="1"/>
  <c r="C68" i="12" s="1"/>
  <c r="D48" i="1"/>
  <c r="E48" i="3"/>
  <c r="L46" i="3"/>
  <c r="D68" i="7"/>
  <c r="B68" i="7" s="1"/>
  <c r="D39" i="1"/>
  <c r="D40" i="5"/>
  <c r="E39" i="5"/>
  <c r="F54" i="1"/>
  <c r="G54" i="3"/>
  <c r="G54" i="1" s="1"/>
  <c r="C68" i="3"/>
  <c r="R108" i="13"/>
  <c r="K35" i="3"/>
  <c r="F36" i="3"/>
  <c r="E40" i="3"/>
  <c r="D52" i="1"/>
  <c r="E52" i="3"/>
  <c r="E47" i="3"/>
  <c r="D47" i="1"/>
  <c r="C64" i="3"/>
  <c r="O64" i="7"/>
  <c r="X88" i="13"/>
  <c r="D68" i="9"/>
  <c r="E68" i="9" s="1"/>
  <c r="F68" i="9" s="1"/>
  <c r="G68" i="9" s="1"/>
  <c r="H68" i="9" s="1"/>
  <c r="I68" i="9" s="1"/>
  <c r="J68" i="9" s="1"/>
  <c r="K68" i="9" s="1"/>
  <c r="L68" i="9" s="1"/>
  <c r="M68" i="9" s="1"/>
  <c r="N68" i="9" s="1"/>
  <c r="AB71" i="13"/>
  <c r="AA88" i="13"/>
  <c r="F55" i="1"/>
  <c r="G55" i="3"/>
  <c r="G55" i="1" s="1"/>
  <c r="G45" i="1"/>
  <c r="G57" i="3"/>
  <c r="G57" i="1" s="1"/>
  <c r="F57" i="1"/>
  <c r="C36" i="1"/>
  <c r="F49" i="5"/>
  <c r="F49" i="1" s="1"/>
  <c r="E60" i="5"/>
  <c r="B64" i="7"/>
  <c r="AE29" i="13"/>
  <c r="AK29" i="13" s="1"/>
  <c r="AL29" i="13" s="1"/>
  <c r="AM29" i="13" s="1"/>
  <c r="AN29" i="13" s="1"/>
  <c r="AO29" i="13" s="1"/>
  <c r="G39" i="3"/>
  <c r="B39" i="3"/>
  <c r="B62" i="8"/>
  <c r="V25" i="13"/>
  <c r="V38" i="13" s="1"/>
  <c r="L48" i="1"/>
  <c r="M48" i="3"/>
  <c r="E44" i="1"/>
  <c r="F44" i="3"/>
  <c r="J38" i="13"/>
  <c r="J39" i="13" s="1"/>
  <c r="J60" i="13" s="1"/>
  <c r="I50" i="1"/>
  <c r="X99" i="13"/>
  <c r="W90" i="13"/>
  <c r="W102" i="13" s="1"/>
  <c r="J53" i="3"/>
  <c r="I53" i="1"/>
  <c r="Y88" i="13"/>
  <c r="Q71" i="13"/>
  <c r="Y46" i="13"/>
  <c r="C60" i="1"/>
  <c r="H35" i="6"/>
  <c r="F36" i="12"/>
  <c r="M57" i="3" l="1"/>
  <c r="L57" i="1"/>
  <c r="F56" i="3"/>
  <c r="E56" i="1"/>
  <c r="J19" i="3"/>
  <c r="I19" i="1"/>
  <c r="I28" i="1" s="1"/>
  <c r="I32" i="1" s="1"/>
  <c r="I28" i="3"/>
  <c r="I32" i="3" s="1"/>
  <c r="D62" i="3"/>
  <c r="D68" i="3" s="1"/>
  <c r="G53" i="3"/>
  <c r="G53" i="1" s="1"/>
  <c r="F53" i="1"/>
  <c r="F19" i="1"/>
  <c r="F28" i="1" s="1"/>
  <c r="F32" i="1" s="1"/>
  <c r="F28" i="3"/>
  <c r="F32" i="3" s="1"/>
  <c r="G19" i="3"/>
  <c r="G37" i="3"/>
  <c r="F37" i="1"/>
  <c r="AW44" i="14"/>
  <c r="AX28" i="14"/>
  <c r="AX44" i="14" s="1"/>
  <c r="L58" i="1"/>
  <c r="M58" i="3"/>
  <c r="M44" i="3"/>
  <c r="L44" i="1"/>
  <c r="AQ78" i="14"/>
  <c r="AP95" i="14"/>
  <c r="AP96" i="14" s="1"/>
  <c r="AK23" i="13"/>
  <c r="AL23" i="13" s="1"/>
  <c r="AM23" i="13" s="1"/>
  <c r="AN23" i="13" s="1"/>
  <c r="AO23" i="13" s="1"/>
  <c r="G121" i="13"/>
  <c r="G123" i="13" s="1"/>
  <c r="AA89" i="13"/>
  <c r="Z114" i="13"/>
  <c r="Z91" i="13"/>
  <c r="AA44" i="13"/>
  <c r="Q53" i="13"/>
  <c r="R53" i="13" s="1"/>
  <c r="S53" i="13" s="1"/>
  <c r="T53" i="13" s="1"/>
  <c r="U53" i="13" s="1"/>
  <c r="P58" i="13"/>
  <c r="Z46" i="13"/>
  <c r="J53" i="1"/>
  <c r="K53" i="3"/>
  <c r="M48" i="1"/>
  <c r="N48" i="3"/>
  <c r="N48" i="1" s="1"/>
  <c r="AB88" i="13"/>
  <c r="AC71" i="13"/>
  <c r="C65" i="3"/>
  <c r="S108" i="13"/>
  <c r="D64" i="5"/>
  <c r="D65" i="5" s="1"/>
  <c r="D62" i="5"/>
  <c r="D68" i="5" s="1"/>
  <c r="L46" i="1"/>
  <c r="M46" i="3"/>
  <c r="D65" i="4"/>
  <c r="O64" i="4"/>
  <c r="F36" i="6"/>
  <c r="E40" i="6"/>
  <c r="S39" i="13"/>
  <c r="N51" i="3"/>
  <c r="M51" i="1"/>
  <c r="N55" i="5"/>
  <c r="M55" i="1"/>
  <c r="K56" i="5"/>
  <c r="J56" i="1"/>
  <c r="F48" i="3"/>
  <c r="E48" i="1"/>
  <c r="C40" i="1"/>
  <c r="L65" i="13"/>
  <c r="K68" i="13"/>
  <c r="AJ63" i="13"/>
  <c r="K45" i="1"/>
  <c r="L45" i="3"/>
  <c r="F50" i="3"/>
  <c r="E50" i="1"/>
  <c r="D60" i="1"/>
  <c r="L47" i="1"/>
  <c r="M47" i="3"/>
  <c r="P63" i="13"/>
  <c r="L59" i="3"/>
  <c r="K59" i="1"/>
  <c r="C65" i="5"/>
  <c r="E36" i="1"/>
  <c r="Y99" i="13"/>
  <c r="K38" i="13"/>
  <c r="K39" i="13" s="1"/>
  <c r="K60" i="13" s="1"/>
  <c r="G44" i="3"/>
  <c r="F44" i="1"/>
  <c r="B55" i="3"/>
  <c r="E47" i="1"/>
  <c r="F47" i="3"/>
  <c r="E35" i="12"/>
  <c r="D40" i="12"/>
  <c r="D62" i="12" s="1"/>
  <c r="D68" i="12" s="1"/>
  <c r="D35" i="1"/>
  <c r="D40" i="1" s="1"/>
  <c r="D62" i="6"/>
  <c r="D68" i="6" s="1"/>
  <c r="D64" i="6"/>
  <c r="E43" i="1"/>
  <c r="E60" i="3"/>
  <c r="E64" i="3" s="1"/>
  <c r="F43" i="3"/>
  <c r="H90" i="13"/>
  <c r="H121" i="13"/>
  <c r="H123" i="13" s="1"/>
  <c r="I22" i="13" s="1"/>
  <c r="I39" i="13" s="1"/>
  <c r="I60" i="13" s="1"/>
  <c r="L50" i="3"/>
  <c r="K50" i="1"/>
  <c r="W101" i="13"/>
  <c r="M54" i="3"/>
  <c r="L54" i="1"/>
  <c r="C68" i="5"/>
  <c r="I35" i="6"/>
  <c r="H35" i="12"/>
  <c r="H35" i="1" s="1"/>
  <c r="G49" i="5"/>
  <c r="F60" i="5"/>
  <c r="F52" i="3"/>
  <c r="E52" i="1"/>
  <c r="G36" i="3"/>
  <c r="F40" i="3"/>
  <c r="L35" i="3"/>
  <c r="E40" i="5"/>
  <c r="F39" i="5"/>
  <c r="E39" i="1"/>
  <c r="D68" i="4"/>
  <c r="B68" i="4" s="1"/>
  <c r="B62" i="4"/>
  <c r="G49" i="1"/>
  <c r="K52" i="3"/>
  <c r="J52" i="1"/>
  <c r="J73" i="13"/>
  <c r="I88" i="13"/>
  <c r="I89" i="13" s="1"/>
  <c r="O38" i="13"/>
  <c r="O39" i="13" s="1"/>
  <c r="P25" i="13"/>
  <c r="E46" i="1"/>
  <c r="F46" i="3"/>
  <c r="G36" i="12"/>
  <c r="B56" i="3" l="1"/>
  <c r="G56" i="3"/>
  <c r="G56" i="1" s="1"/>
  <c r="F56" i="1"/>
  <c r="K19" i="3"/>
  <c r="J19" i="1"/>
  <c r="J28" i="1" s="1"/>
  <c r="J32" i="1" s="1"/>
  <c r="J28" i="3"/>
  <c r="J32" i="3" s="1"/>
  <c r="N57" i="3"/>
  <c r="M57" i="1"/>
  <c r="H37" i="3"/>
  <c r="G37" i="1"/>
  <c r="M44" i="1"/>
  <c r="N44" i="3"/>
  <c r="N44" i="1" s="1"/>
  <c r="G28" i="3"/>
  <c r="G32" i="3" s="1"/>
  <c r="G19" i="1"/>
  <c r="G28" i="1" s="1"/>
  <c r="G32" i="1" s="1"/>
  <c r="M58" i="1"/>
  <c r="N58" i="3"/>
  <c r="N58" i="1" s="1"/>
  <c r="AR78" i="14"/>
  <c r="AQ95" i="14"/>
  <c r="AQ96" i="14" s="1"/>
  <c r="D62" i="1"/>
  <c r="AK63" i="13"/>
  <c r="AM63" i="13" s="1"/>
  <c r="AO63" i="13" s="1"/>
  <c r="AL63" i="13"/>
  <c r="AN63" i="13" s="1"/>
  <c r="D64" i="1"/>
  <c r="AA91" i="13"/>
  <c r="AA114" i="13"/>
  <c r="AB89" i="13"/>
  <c r="AB44" i="13"/>
  <c r="V53" i="13"/>
  <c r="U58" i="13"/>
  <c r="E65" i="3"/>
  <c r="P38" i="13"/>
  <c r="P39" i="13" s="1"/>
  <c r="P60" i="13" s="1"/>
  <c r="M35" i="3"/>
  <c r="H49" i="5"/>
  <c r="G60" i="5"/>
  <c r="M50" i="3"/>
  <c r="L50" i="1"/>
  <c r="D65" i="6"/>
  <c r="C62" i="1"/>
  <c r="C67" i="1" s="1"/>
  <c r="C64" i="1"/>
  <c r="C65" i="1" s="1"/>
  <c r="E62" i="6"/>
  <c r="E68" i="6" s="1"/>
  <c r="E64" i="6"/>
  <c r="E65" i="6" s="1"/>
  <c r="AA46" i="13"/>
  <c r="F46" i="1"/>
  <c r="G46" i="3"/>
  <c r="G46" i="1" s="1"/>
  <c r="G39" i="5"/>
  <c r="F40" i="5"/>
  <c r="F39" i="1"/>
  <c r="G43" i="3"/>
  <c r="F43" i="1"/>
  <c r="F60" i="3"/>
  <c r="F64" i="3" s="1"/>
  <c r="G47" i="3"/>
  <c r="F47" i="1"/>
  <c r="G44" i="1"/>
  <c r="B44" i="3"/>
  <c r="Z99" i="13"/>
  <c r="G50" i="3"/>
  <c r="G50" i="1" s="1"/>
  <c r="F50" i="1"/>
  <c r="L56" i="5"/>
  <c r="K56" i="1"/>
  <c r="N51" i="1"/>
  <c r="B51" i="1" s="1"/>
  <c r="B51" i="3"/>
  <c r="G36" i="6"/>
  <c r="F40" i="6"/>
  <c r="N46" i="3"/>
  <c r="N46" i="1" s="1"/>
  <c r="M46" i="1"/>
  <c r="F36" i="1"/>
  <c r="I90" i="13"/>
  <c r="I121" i="13"/>
  <c r="I123" i="13" s="1"/>
  <c r="L52" i="3"/>
  <c r="K52" i="1"/>
  <c r="E62" i="5"/>
  <c r="E64" i="5"/>
  <c r="F52" i="1"/>
  <c r="G52" i="3"/>
  <c r="J35" i="6"/>
  <c r="X101" i="13"/>
  <c r="E62" i="3"/>
  <c r="L45" i="1"/>
  <c r="M45" i="3"/>
  <c r="F48" i="1"/>
  <c r="G48" i="3"/>
  <c r="T39" i="13"/>
  <c r="T108" i="13"/>
  <c r="L53" i="3"/>
  <c r="K53" i="1"/>
  <c r="G36" i="1"/>
  <c r="J88" i="13"/>
  <c r="J89" i="13" s="1"/>
  <c r="K73" i="13"/>
  <c r="H36" i="3"/>
  <c r="G40" i="3"/>
  <c r="I35" i="12"/>
  <c r="M54" i="1"/>
  <c r="N54" i="3"/>
  <c r="N54" i="1" s="1"/>
  <c r="E60" i="1"/>
  <c r="F35" i="12"/>
  <c r="E35" i="1"/>
  <c r="E40" i="1" s="1"/>
  <c r="E40" i="12"/>
  <c r="E62" i="12" s="1"/>
  <c r="E68" i="12" s="1"/>
  <c r="M59" i="3"/>
  <c r="L59" i="1"/>
  <c r="N47" i="3"/>
  <c r="N47" i="1" s="1"/>
  <c r="M47" i="1"/>
  <c r="M65" i="13"/>
  <c r="L68" i="13"/>
  <c r="N55" i="1"/>
  <c r="B55" i="1" s="1"/>
  <c r="B55" i="5"/>
  <c r="AD71" i="13"/>
  <c r="AC88" i="13"/>
  <c r="D67" i="1"/>
  <c r="B54" i="3" l="1"/>
  <c r="B44" i="1"/>
  <c r="K19" i="1"/>
  <c r="K28" i="1" s="1"/>
  <c r="K32" i="1" s="1"/>
  <c r="K28" i="3"/>
  <c r="K32" i="3" s="1"/>
  <c r="L19" i="3"/>
  <c r="N57" i="1"/>
  <c r="B57" i="1" s="1"/>
  <c r="B57" i="3"/>
  <c r="B58" i="1"/>
  <c r="B46" i="3"/>
  <c r="H37" i="1"/>
  <c r="I37" i="3"/>
  <c r="B58" i="3"/>
  <c r="AR95" i="14"/>
  <c r="AR96" i="14" s="1"/>
  <c r="AS78" i="14"/>
  <c r="D65" i="1"/>
  <c r="E64" i="1"/>
  <c r="B54" i="1"/>
  <c r="AB114" i="13"/>
  <c r="AC44" i="13"/>
  <c r="AB91" i="13"/>
  <c r="E62" i="1"/>
  <c r="E67" i="1" s="1"/>
  <c r="W53" i="13"/>
  <c r="V58" i="13"/>
  <c r="F65" i="3"/>
  <c r="AE71" i="13"/>
  <c r="AD88" i="13"/>
  <c r="M59" i="1"/>
  <c r="N59" i="3"/>
  <c r="N59" i="1" s="1"/>
  <c r="I36" i="3"/>
  <c r="H40" i="3"/>
  <c r="E68" i="3"/>
  <c r="Y101" i="13"/>
  <c r="Y25" i="13"/>
  <c r="G52" i="1"/>
  <c r="E65" i="5"/>
  <c r="N35" i="3"/>
  <c r="J35" i="12"/>
  <c r="U39" i="13"/>
  <c r="U60" i="13" s="1"/>
  <c r="M45" i="1"/>
  <c r="N45" i="3"/>
  <c r="N45" i="1" s="1"/>
  <c r="I35" i="1"/>
  <c r="E68" i="5"/>
  <c r="AA99" i="13"/>
  <c r="G47" i="1"/>
  <c r="B47" i="1" s="1"/>
  <c r="B47" i="3"/>
  <c r="F60" i="1"/>
  <c r="H49" i="1"/>
  <c r="I49" i="5"/>
  <c r="H60" i="5"/>
  <c r="N65" i="13"/>
  <c r="M68" i="13"/>
  <c r="K88" i="13"/>
  <c r="K89" i="13" s="1"/>
  <c r="L73" i="13"/>
  <c r="G48" i="1"/>
  <c r="B48" i="1" s="1"/>
  <c r="B48" i="3"/>
  <c r="F62" i="3"/>
  <c r="F68" i="3" s="1"/>
  <c r="F62" i="6"/>
  <c r="F64" i="6"/>
  <c r="F65" i="6" s="1"/>
  <c r="G60" i="3"/>
  <c r="G64" i="3" s="1"/>
  <c r="G65" i="3" s="1"/>
  <c r="H43" i="3"/>
  <c r="G43" i="1"/>
  <c r="F62" i="5"/>
  <c r="F68" i="5" s="1"/>
  <c r="F64" i="5"/>
  <c r="F65" i="5" s="1"/>
  <c r="B46" i="1"/>
  <c r="N50" i="3"/>
  <c r="N50" i="1" s="1"/>
  <c r="M50" i="1"/>
  <c r="B35" i="3"/>
  <c r="B50" i="3"/>
  <c r="F35" i="1"/>
  <c r="F40" i="1" s="1"/>
  <c r="F62" i="1" s="1"/>
  <c r="F40" i="12"/>
  <c r="F62" i="12" s="1"/>
  <c r="F68" i="12" s="1"/>
  <c r="G35" i="12"/>
  <c r="J90" i="13"/>
  <c r="J121" i="13"/>
  <c r="J123" i="13" s="1"/>
  <c r="M53" i="3"/>
  <c r="L53" i="1"/>
  <c r="U108" i="13"/>
  <c r="K35" i="6"/>
  <c r="L52" i="1"/>
  <c r="M52" i="3"/>
  <c r="H36" i="6"/>
  <c r="G40" i="6"/>
  <c r="M56" i="5"/>
  <c r="L56" i="1"/>
  <c r="G40" i="5"/>
  <c r="H39" i="5"/>
  <c r="G39" i="1"/>
  <c r="G62" i="3" l="1"/>
  <c r="G68" i="3" s="1"/>
  <c r="L19" i="1"/>
  <c r="L28" i="1" s="1"/>
  <c r="L32" i="1" s="1"/>
  <c r="L28" i="3"/>
  <c r="L32" i="3" s="1"/>
  <c r="M19" i="3"/>
  <c r="J37" i="3"/>
  <c r="I37" i="1"/>
  <c r="B59" i="3"/>
  <c r="AT78" i="14"/>
  <c r="AS95" i="14"/>
  <c r="AS96" i="14" s="1"/>
  <c r="E65" i="1"/>
  <c r="B59" i="1"/>
  <c r="B45" i="1"/>
  <c r="X53" i="13"/>
  <c r="W58" i="13"/>
  <c r="G62" i="5"/>
  <c r="G64" i="5"/>
  <c r="N56" i="5"/>
  <c r="N56" i="1" s="1"/>
  <c r="M56" i="1"/>
  <c r="L35" i="6"/>
  <c r="I43" i="3"/>
  <c r="H60" i="3"/>
  <c r="H43" i="1"/>
  <c r="M73" i="13"/>
  <c r="L88" i="13"/>
  <c r="L89" i="13" s="1"/>
  <c r="O65" i="13"/>
  <c r="N68" i="13"/>
  <c r="K35" i="12"/>
  <c r="F68" i="6"/>
  <c r="H62" i="3"/>
  <c r="H68" i="3" s="1"/>
  <c r="H64" i="3"/>
  <c r="H65" i="3" s="1"/>
  <c r="F64" i="1"/>
  <c r="G62" i="6"/>
  <c r="G64" i="6"/>
  <c r="M53" i="1"/>
  <c r="N53" i="3"/>
  <c r="N53" i="1" s="1"/>
  <c r="K90" i="13"/>
  <c r="L44" i="13"/>
  <c r="L58" i="13" s="1"/>
  <c r="L60" i="13" s="1"/>
  <c r="K114" i="13"/>
  <c r="K119" i="13" s="1"/>
  <c r="AB99" i="13"/>
  <c r="Z25" i="13"/>
  <c r="J36" i="3"/>
  <c r="I40" i="3"/>
  <c r="AF71" i="13"/>
  <c r="AE88" i="13"/>
  <c r="H36" i="12"/>
  <c r="I36" i="6"/>
  <c r="H40" i="6"/>
  <c r="J35" i="1"/>
  <c r="V108" i="13"/>
  <c r="U119" i="13"/>
  <c r="U121" i="13" s="1"/>
  <c r="U123" i="13" s="1"/>
  <c r="G40" i="12"/>
  <c r="G62" i="12" s="1"/>
  <c r="G68" i="12" s="1"/>
  <c r="G35" i="1"/>
  <c r="G40" i="1" s="1"/>
  <c r="B50" i="1"/>
  <c r="V39" i="13"/>
  <c r="V60" i="13" s="1"/>
  <c r="Z101" i="13"/>
  <c r="I39" i="5"/>
  <c r="H39" i="1"/>
  <c r="H40" i="5"/>
  <c r="N52" i="3"/>
  <c r="M52" i="1"/>
  <c r="G60" i="1"/>
  <c r="I60" i="5"/>
  <c r="J49" i="5"/>
  <c r="I49" i="1"/>
  <c r="B45" i="3"/>
  <c r="F67" i="1"/>
  <c r="M19" i="1" l="1"/>
  <c r="M28" i="3"/>
  <c r="M32" i="3" s="1"/>
  <c r="N19" i="3"/>
  <c r="B19" i="3" s="1"/>
  <c r="B28" i="3" s="1"/>
  <c r="B32" i="3" s="1"/>
  <c r="B53" i="3"/>
  <c r="K37" i="3"/>
  <c r="J37" i="1"/>
  <c r="AU78" i="14"/>
  <c r="AU95" i="14" s="1"/>
  <c r="AU96" i="14" s="1"/>
  <c r="AT95" i="14"/>
  <c r="AT96" i="14" s="1"/>
  <c r="F65" i="1"/>
  <c r="B56" i="1"/>
  <c r="K121" i="13"/>
  <c r="K123" i="13" s="1"/>
  <c r="B53" i="1"/>
  <c r="AF88" i="13"/>
  <c r="AG71" i="13"/>
  <c r="Y53" i="13"/>
  <c r="Z53" i="13" s="1"/>
  <c r="AA53" i="13" s="1"/>
  <c r="AB53" i="13" s="1"/>
  <c r="X58" i="13"/>
  <c r="J49" i="1"/>
  <c r="K49" i="5"/>
  <c r="J60" i="5"/>
  <c r="H64" i="5"/>
  <c r="H65" i="5" s="1"/>
  <c r="H62" i="5"/>
  <c r="H68" i="5" s="1"/>
  <c r="W39" i="13"/>
  <c r="W60" i="13" s="1"/>
  <c r="G62" i="1"/>
  <c r="G67" i="1" s="1"/>
  <c r="G64" i="1"/>
  <c r="I36" i="12"/>
  <c r="H40" i="12"/>
  <c r="H62" i="12" s="1"/>
  <c r="H68" i="12" s="1"/>
  <c r="L35" i="12"/>
  <c r="L35" i="1" s="1"/>
  <c r="N73" i="13"/>
  <c r="M88" i="13"/>
  <c r="M89" i="13" s="1"/>
  <c r="J43" i="3"/>
  <c r="I60" i="3"/>
  <c r="I62" i="3" s="1"/>
  <c r="I68" i="3" s="1"/>
  <c r="I43" i="1"/>
  <c r="I60" i="1" s="1"/>
  <c r="K35" i="1"/>
  <c r="H36" i="1"/>
  <c r="H40" i="1" s="1"/>
  <c r="B56" i="5"/>
  <c r="AA25" i="13"/>
  <c r="M35" i="6"/>
  <c r="G65" i="5"/>
  <c r="N52" i="1"/>
  <c r="B52" i="1" s="1"/>
  <c r="B52" i="3"/>
  <c r="I39" i="1"/>
  <c r="J39" i="5"/>
  <c r="I40" i="5"/>
  <c r="H62" i="6"/>
  <c r="H64" i="6"/>
  <c r="H65" i="6" s="1"/>
  <c r="G68" i="6"/>
  <c r="P65" i="13"/>
  <c r="O68" i="13"/>
  <c r="H60" i="1"/>
  <c r="G68" i="5"/>
  <c r="AA101" i="13"/>
  <c r="W108" i="13"/>
  <c r="V119" i="13"/>
  <c r="V121" i="13" s="1"/>
  <c r="V123" i="13" s="1"/>
  <c r="J36" i="6"/>
  <c r="I40" i="6"/>
  <c r="K36" i="3"/>
  <c r="J40" i="3"/>
  <c r="AC99" i="13"/>
  <c r="G65" i="6"/>
  <c r="L114" i="13"/>
  <c r="L119" i="13" s="1"/>
  <c r="L90" i="13"/>
  <c r="N28" i="3" l="1"/>
  <c r="N32" i="3" s="1"/>
  <c r="N19" i="1"/>
  <c r="N28" i="1" s="1"/>
  <c r="N32" i="1" s="1"/>
  <c r="M28" i="1"/>
  <c r="M32" i="1" s="1"/>
  <c r="B19" i="1"/>
  <c r="B28" i="1" s="1"/>
  <c r="B32" i="1" s="1"/>
  <c r="H68" i="6"/>
  <c r="K37" i="1"/>
  <c r="L37" i="3"/>
  <c r="I64" i="3"/>
  <c r="G65" i="1"/>
  <c r="AG88" i="13"/>
  <c r="AH71" i="13"/>
  <c r="AC53" i="13"/>
  <c r="AD53" i="13" s="1"/>
  <c r="AE53" i="13" s="1"/>
  <c r="AF53" i="13" s="1"/>
  <c r="AG53" i="13" s="1"/>
  <c r="AH53" i="13" s="1"/>
  <c r="AI53" i="13" s="1"/>
  <c r="AJ53" i="13" s="1"/>
  <c r="AK53" i="13" s="1"/>
  <c r="AL53" i="13" s="1"/>
  <c r="AM53" i="13" s="1"/>
  <c r="AN53" i="13" s="1"/>
  <c r="AO53" i="13" s="1"/>
  <c r="AD99" i="13"/>
  <c r="L36" i="3"/>
  <c r="K40" i="3"/>
  <c r="X108" i="13"/>
  <c r="W119" i="13"/>
  <c r="W121" i="13" s="1"/>
  <c r="W123" i="13" s="1"/>
  <c r="I65" i="3"/>
  <c r="H64" i="1"/>
  <c r="H62" i="1"/>
  <c r="H67" i="1" s="1"/>
  <c r="L49" i="5"/>
  <c r="K60" i="5"/>
  <c r="K49" i="1"/>
  <c r="L121" i="13"/>
  <c r="L123" i="13" s="1"/>
  <c r="M38" i="13" s="1"/>
  <c r="M39" i="13" s="1"/>
  <c r="M60" i="13" s="1"/>
  <c r="I62" i="6"/>
  <c r="I68" i="6" s="1"/>
  <c r="I64" i="6"/>
  <c r="I65" i="6" s="1"/>
  <c r="I62" i="5"/>
  <c r="I68" i="5" s="1"/>
  <c r="I64" i="5"/>
  <c r="I65" i="5" s="1"/>
  <c r="K43" i="3"/>
  <c r="J60" i="3"/>
  <c r="J64" i="3" s="1"/>
  <c r="J65" i="3" s="1"/>
  <c r="J43" i="1"/>
  <c r="K36" i="6"/>
  <c r="J40" i="6"/>
  <c r="K39" i="5"/>
  <c r="J39" i="1"/>
  <c r="J40" i="5"/>
  <c r="N35" i="6"/>
  <c r="M90" i="13"/>
  <c r="M114" i="13"/>
  <c r="M119" i="13" s="1"/>
  <c r="M35" i="12"/>
  <c r="J36" i="12"/>
  <c r="I40" i="12"/>
  <c r="I62" i="12" s="1"/>
  <c r="I36" i="1"/>
  <c r="I40" i="1" s="1"/>
  <c r="X38" i="13"/>
  <c r="X39" i="13" s="1"/>
  <c r="X60" i="13" s="1"/>
  <c r="AB101" i="13"/>
  <c r="Q65" i="13"/>
  <c r="P68" i="13"/>
  <c r="O73" i="13"/>
  <c r="N88" i="13"/>
  <c r="N89" i="13" s="1"/>
  <c r="J62" i="3" l="1"/>
  <c r="J68" i="3" s="1"/>
  <c r="L37" i="1"/>
  <c r="M37" i="3"/>
  <c r="AV78" i="14"/>
  <c r="H65" i="1"/>
  <c r="AH88" i="13"/>
  <c r="AI71" i="13"/>
  <c r="M121" i="13"/>
  <c r="M123" i="13" s="1"/>
  <c r="I64" i="1"/>
  <c r="I62" i="1"/>
  <c r="I67" i="1" s="1"/>
  <c r="N35" i="12"/>
  <c r="B35" i="12" s="1"/>
  <c r="M35" i="1"/>
  <c r="J60" i="1"/>
  <c r="AE99" i="13"/>
  <c r="O44" i="13"/>
  <c r="O58" i="13" s="1"/>
  <c r="O60" i="13" s="1"/>
  <c r="N114" i="13"/>
  <c r="N119" i="13" s="1"/>
  <c r="N90" i="13"/>
  <c r="K40" i="5"/>
  <c r="K39" i="1"/>
  <c r="L39" i="5"/>
  <c r="J62" i="6"/>
  <c r="J68" i="6" s="1"/>
  <c r="J64" i="6"/>
  <c r="J65" i="6" s="1"/>
  <c r="I68" i="12"/>
  <c r="P73" i="13"/>
  <c r="O88" i="13"/>
  <c r="O89" i="13" s="1"/>
  <c r="Y38" i="13"/>
  <c r="Y47" i="13" s="1"/>
  <c r="Y58" i="13" s="1"/>
  <c r="K36" i="12"/>
  <c r="J40" i="12"/>
  <c r="J62" i="12" s="1"/>
  <c r="B35" i="6"/>
  <c r="L36" i="6"/>
  <c r="K40" i="6"/>
  <c r="L43" i="3"/>
  <c r="K43" i="1"/>
  <c r="K60" i="1" s="1"/>
  <c r="K60" i="3"/>
  <c r="K64" i="3" s="1"/>
  <c r="K65" i="3" s="1"/>
  <c r="Y108" i="13"/>
  <c r="X119" i="13"/>
  <c r="X121" i="13" s="1"/>
  <c r="X123" i="13" s="1"/>
  <c r="M36" i="3"/>
  <c r="L40" i="3"/>
  <c r="R65" i="13"/>
  <c r="S65" i="13" s="1"/>
  <c r="T65" i="13" s="1"/>
  <c r="U65" i="13" s="1"/>
  <c r="Q63" i="13"/>
  <c r="J36" i="1"/>
  <c r="J40" i="1" s="1"/>
  <c r="J62" i="5"/>
  <c r="J68" i="5" s="1"/>
  <c r="J64" i="5"/>
  <c r="J65" i="5" s="1"/>
  <c r="M49" i="5"/>
  <c r="L60" i="5"/>
  <c r="L49" i="1"/>
  <c r="N37" i="3" l="1"/>
  <c r="N37" i="1" s="1"/>
  <c r="B37" i="1" s="1"/>
  <c r="M37" i="1"/>
  <c r="K62" i="3"/>
  <c r="K68" i="3" s="1"/>
  <c r="AV95" i="14"/>
  <c r="AV96" i="14" s="1"/>
  <c r="AW78" i="14"/>
  <c r="I65" i="1"/>
  <c r="N35" i="1"/>
  <c r="AI88" i="13"/>
  <c r="AJ71" i="13"/>
  <c r="J68" i="12"/>
  <c r="Y39" i="13"/>
  <c r="Y60" i="13" s="1"/>
  <c r="M60" i="5"/>
  <c r="N49" i="5"/>
  <c r="M49" i="1"/>
  <c r="J62" i="1"/>
  <c r="J64" i="1"/>
  <c r="L43" i="1"/>
  <c r="L60" i="1" s="1"/>
  <c r="L60" i="3"/>
  <c r="L62" i="3" s="1"/>
  <c r="L68" i="3" s="1"/>
  <c r="M43" i="3"/>
  <c r="L36" i="12"/>
  <c r="K40" i="12"/>
  <c r="K62" i="12" s="1"/>
  <c r="K36" i="1"/>
  <c r="K40" i="1" s="1"/>
  <c r="O90" i="13"/>
  <c r="O114" i="13"/>
  <c r="O119" i="13" s="1"/>
  <c r="M39" i="5"/>
  <c r="L40" i="5"/>
  <c r="L39" i="1"/>
  <c r="Q68" i="13"/>
  <c r="R63" i="13"/>
  <c r="Z108" i="13"/>
  <c r="Y119" i="13"/>
  <c r="Y121" i="13" s="1"/>
  <c r="K62" i="6"/>
  <c r="K68" i="6" s="1"/>
  <c r="K64" i="6"/>
  <c r="K65" i="6" s="1"/>
  <c r="AD101" i="13"/>
  <c r="Q73" i="13"/>
  <c r="P88" i="13"/>
  <c r="P89" i="13" s="1"/>
  <c r="N121" i="13"/>
  <c r="N123" i="13" s="1"/>
  <c r="AF99" i="13"/>
  <c r="AG99" i="13" s="1"/>
  <c r="AH99" i="13" s="1"/>
  <c r="AI99" i="13" s="1"/>
  <c r="AJ99" i="13" s="1"/>
  <c r="AK99" i="13" s="1"/>
  <c r="AL99" i="13" s="1"/>
  <c r="AM99" i="13" s="1"/>
  <c r="B35" i="1"/>
  <c r="U68" i="13"/>
  <c r="V65" i="13"/>
  <c r="L64" i="3"/>
  <c r="L65" i="3" s="1"/>
  <c r="M36" i="6"/>
  <c r="L40" i="6"/>
  <c r="K64" i="5"/>
  <c r="K65" i="5" s="1"/>
  <c r="K62" i="5"/>
  <c r="K68" i="5" s="1"/>
  <c r="N36" i="3"/>
  <c r="M40" i="3"/>
  <c r="Z38" i="13"/>
  <c r="Z47" i="13" s="1"/>
  <c r="Z58" i="13" s="1"/>
  <c r="B37" i="3" l="1"/>
  <c r="AW95" i="14"/>
  <c r="AW96" i="14" s="1"/>
  <c r="AX78" i="14"/>
  <c r="AX95" i="14" s="1"/>
  <c r="AX96" i="14" s="1"/>
  <c r="J65" i="1"/>
  <c r="K68" i="12"/>
  <c r="AN99" i="13"/>
  <c r="AO99" i="13" s="1"/>
  <c r="AJ88" i="13"/>
  <c r="AK71" i="13"/>
  <c r="Y123" i="13"/>
  <c r="O121" i="13"/>
  <c r="O123" i="13" s="1"/>
  <c r="Z39" i="13"/>
  <c r="Z60" i="13" s="1"/>
  <c r="L68" i="6"/>
  <c r="L62" i="6"/>
  <c r="L64" i="6"/>
  <c r="L65" i="6" s="1"/>
  <c r="W65" i="13"/>
  <c r="V68" i="13"/>
  <c r="M36" i="12"/>
  <c r="L40" i="12"/>
  <c r="L62" i="12" s="1"/>
  <c r="L36" i="1"/>
  <c r="L40" i="1" s="1"/>
  <c r="N60" i="5"/>
  <c r="N49" i="1"/>
  <c r="B49" i="5"/>
  <c r="B60" i="5" s="1"/>
  <c r="AA38" i="13"/>
  <c r="AA47" i="13" s="1"/>
  <c r="AA58" i="13" s="1"/>
  <c r="AB38" i="13"/>
  <c r="AB47" i="13" s="1"/>
  <c r="AB58" i="13" s="1"/>
  <c r="N36" i="6"/>
  <c r="M40" i="6"/>
  <c r="AE101" i="13"/>
  <c r="M64" i="3"/>
  <c r="M65" i="3" s="1"/>
  <c r="AE25" i="13"/>
  <c r="AE38" i="13" s="1"/>
  <c r="Q44" i="13"/>
  <c r="Q58" i="13" s="1"/>
  <c r="Q60" i="13" s="1"/>
  <c r="P114" i="13"/>
  <c r="P119" i="13" s="1"/>
  <c r="P90" i="13"/>
  <c r="AA108" i="13"/>
  <c r="Z119" i="13"/>
  <c r="Z121" i="13" s="1"/>
  <c r="L62" i="5"/>
  <c r="L68" i="5" s="1"/>
  <c r="L64" i="5"/>
  <c r="L65" i="5" s="1"/>
  <c r="K62" i="1"/>
  <c r="K67" i="1" s="1"/>
  <c r="K64" i="1"/>
  <c r="M43" i="1"/>
  <c r="M60" i="1" s="1"/>
  <c r="N43" i="3"/>
  <c r="M60" i="3"/>
  <c r="M62" i="3" s="1"/>
  <c r="M68" i="3" s="1"/>
  <c r="J67" i="1"/>
  <c r="N40" i="3"/>
  <c r="B36" i="3"/>
  <c r="B40" i="3" s="1"/>
  <c r="R73" i="13"/>
  <c r="Q88" i="13"/>
  <c r="Q89" i="13" s="1"/>
  <c r="S63" i="13"/>
  <c r="R68" i="13"/>
  <c r="N39" i="5"/>
  <c r="M40" i="5"/>
  <c r="M39" i="1"/>
  <c r="K65" i="1" l="1"/>
  <c r="L68" i="12"/>
  <c r="AK88" i="13"/>
  <c r="AL71" i="13"/>
  <c r="Z123" i="13"/>
  <c r="AF101" i="13"/>
  <c r="AG101" i="13" s="1"/>
  <c r="AH101" i="13" s="1"/>
  <c r="AI101" i="13" s="1"/>
  <c r="AJ101" i="13" s="1"/>
  <c r="AK101" i="13" s="1"/>
  <c r="AC39" i="13"/>
  <c r="AB39" i="13"/>
  <c r="AB60" i="13" s="1"/>
  <c r="Q90" i="13"/>
  <c r="R44" i="13"/>
  <c r="R58" i="13" s="1"/>
  <c r="R60" i="13" s="1"/>
  <c r="Q114" i="13"/>
  <c r="Q119" i="13" s="1"/>
  <c r="T63" i="13"/>
  <c r="T68" i="13" s="1"/>
  <c r="S68" i="13"/>
  <c r="AB108" i="13"/>
  <c r="AA119" i="13"/>
  <c r="AA121" i="13" s="1"/>
  <c r="M62" i="6"/>
  <c r="M68" i="6" s="1"/>
  <c r="M64" i="6"/>
  <c r="M65" i="6" s="1"/>
  <c r="L62" i="1"/>
  <c r="L67" i="1" s="1"/>
  <c r="L64" i="1"/>
  <c r="X65" i="13"/>
  <c r="W68" i="13"/>
  <c r="M62" i="5"/>
  <c r="M68" i="5" s="1"/>
  <c r="M64" i="5"/>
  <c r="M65" i="5" s="1"/>
  <c r="N43" i="1"/>
  <c r="B43" i="1" s="1"/>
  <c r="B60" i="1" s="1"/>
  <c r="N60" i="3"/>
  <c r="N64" i="3" s="1"/>
  <c r="B43" i="3"/>
  <c r="B60" i="3" s="1"/>
  <c r="B64" i="3" s="1"/>
  <c r="B36" i="6"/>
  <c r="B40" i="6" s="1"/>
  <c r="B64" i="6" s="1"/>
  <c r="N40" i="6"/>
  <c r="N40" i="5"/>
  <c r="N39" i="1"/>
  <c r="B39" i="1" s="1"/>
  <c r="B39" i="5"/>
  <c r="B40" i="5" s="1"/>
  <c r="B64" i="5" s="1"/>
  <c r="S73" i="13"/>
  <c r="R88" i="13"/>
  <c r="R89" i="13" s="1"/>
  <c r="P121" i="13"/>
  <c r="P123" i="13" s="1"/>
  <c r="AF25" i="13"/>
  <c r="AA39" i="13"/>
  <c r="AA60" i="13" s="1"/>
  <c r="B49" i="1"/>
  <c r="N36" i="12"/>
  <c r="M40" i="12"/>
  <c r="M62" i="12" s="1"/>
  <c r="M68" i="12" s="1"/>
  <c r="M36" i="1"/>
  <c r="N62" i="3" l="1"/>
  <c r="L65" i="1"/>
  <c r="AL88" i="13"/>
  <c r="AM71" i="13"/>
  <c r="AG25" i="13"/>
  <c r="AF38" i="13"/>
  <c r="AL101" i="13"/>
  <c r="AM101" i="13" s="1"/>
  <c r="Q121" i="13"/>
  <c r="Q123" i="13" s="1"/>
  <c r="N60" i="1"/>
  <c r="AA123" i="13"/>
  <c r="N68" i="6"/>
  <c r="M40" i="1"/>
  <c r="N62" i="6"/>
  <c r="B62" i="6" s="1"/>
  <c r="B68" i="6" s="1"/>
  <c r="N64" i="6"/>
  <c r="AC108" i="13"/>
  <c r="AB119" i="13"/>
  <c r="AB121" i="13" s="1"/>
  <c r="AB123" i="13" s="1"/>
  <c r="N68" i="3"/>
  <c r="B68" i="3" s="1"/>
  <c r="B62" i="3"/>
  <c r="R114" i="13"/>
  <c r="R119" i="13" s="1"/>
  <c r="R90" i="13"/>
  <c r="S44" i="13"/>
  <c r="S58" i="13" s="1"/>
  <c r="S60" i="13" s="1"/>
  <c r="N36" i="1"/>
  <c r="N40" i="1" s="1"/>
  <c r="N40" i="12"/>
  <c r="N62" i="12" s="1"/>
  <c r="B62" i="12" s="1"/>
  <c r="B68" i="12" s="1"/>
  <c r="B36" i="12"/>
  <c r="B40" i="12" s="1"/>
  <c r="N62" i="5"/>
  <c r="N64" i="5"/>
  <c r="N65" i="3"/>
  <c r="O64" i="3"/>
  <c r="X68" i="13"/>
  <c r="Y65" i="13"/>
  <c r="T73" i="13"/>
  <c r="T88" i="13" s="1"/>
  <c r="T89" i="13" s="1"/>
  <c r="S88" i="13"/>
  <c r="S89" i="13" s="1"/>
  <c r="AM88" i="13" l="1"/>
  <c r="AN71" i="13"/>
  <c r="AH25" i="13"/>
  <c r="AG38" i="13"/>
  <c r="AN101" i="13"/>
  <c r="AO101" i="13" s="1"/>
  <c r="R121" i="13"/>
  <c r="R123" i="13" s="1"/>
  <c r="T90" i="13"/>
  <c r="T114" i="13"/>
  <c r="T119" i="13" s="1"/>
  <c r="S90" i="13"/>
  <c r="S114" i="13"/>
  <c r="S119" i="13" s="1"/>
  <c r="T44" i="13"/>
  <c r="T58" i="13" s="1"/>
  <c r="T60" i="13" s="1"/>
  <c r="M62" i="1"/>
  <c r="M64" i="1"/>
  <c r="M65" i="1" s="1"/>
  <c r="Y68" i="13"/>
  <c r="Z65" i="13"/>
  <c r="N65" i="5"/>
  <c r="O64" i="5"/>
  <c r="N64" i="1"/>
  <c r="N62" i="1"/>
  <c r="N67" i="1" s="1"/>
  <c r="AD108" i="13"/>
  <c r="B36" i="1"/>
  <c r="B40" i="1" s="1"/>
  <c r="B64" i="1" s="1"/>
  <c r="N68" i="5"/>
  <c r="B68" i="5" s="1"/>
  <c r="B62" i="5"/>
  <c r="N65" i="6"/>
  <c r="O64" i="6"/>
  <c r="N68" i="12"/>
  <c r="AN88" i="13" l="1"/>
  <c r="AO71" i="13"/>
  <c r="AO88" i="13" s="1"/>
  <c r="AI25" i="13"/>
  <c r="AH38" i="13"/>
  <c r="T121" i="13"/>
  <c r="T123" i="13" s="1"/>
  <c r="S121" i="13"/>
  <c r="S123" i="13" s="1"/>
  <c r="O64" i="1"/>
  <c r="Z68" i="13"/>
  <c r="AA65" i="13"/>
  <c r="AC58" i="13"/>
  <c r="N65" i="1"/>
  <c r="M67" i="1"/>
  <c r="B67" i="1" s="1"/>
  <c r="B62" i="1"/>
  <c r="AJ25" i="13" l="1"/>
  <c r="AK25" i="13" s="1"/>
  <c r="AL25" i="13" s="1"/>
  <c r="AM25" i="13" s="1"/>
  <c r="AN25" i="13" s="1"/>
  <c r="AO25" i="13" s="1"/>
  <c r="AI38" i="13"/>
  <c r="AC60" i="13"/>
  <c r="AB65" i="13"/>
  <c r="AA68" i="13"/>
  <c r="AD39" i="13" l="1"/>
  <c r="AC65" i="13"/>
  <c r="AB68" i="13"/>
  <c r="AD65" i="13" l="1"/>
  <c r="AC68" i="13"/>
  <c r="AC89" i="13" s="1"/>
  <c r="AC114" i="13" l="1"/>
  <c r="AC91" i="13"/>
  <c r="AC98" i="13"/>
  <c r="AD44" i="13"/>
  <c r="AD58" i="13" s="1"/>
  <c r="AD60" i="13" s="1"/>
  <c r="AD68" i="13"/>
  <c r="AD89" i="13" s="1"/>
  <c r="AE44" i="13" s="1"/>
  <c r="AC119" i="13" l="1"/>
  <c r="AC121" i="13" s="1"/>
  <c r="AC125" i="13" s="1"/>
  <c r="AD91" i="13"/>
  <c r="AD114" i="13"/>
  <c r="AD98" i="13"/>
  <c r="AE68" i="13"/>
  <c r="AE89" i="13" s="1"/>
  <c r="AF44" i="13" s="1"/>
  <c r="AC123" i="13" l="1"/>
  <c r="AE114" i="13"/>
  <c r="AE91" i="13"/>
  <c r="AD119" i="13"/>
  <c r="AD121" i="13" s="1"/>
  <c r="AE39" i="13"/>
  <c r="AE47" i="13" s="1"/>
  <c r="AF68" i="13"/>
  <c r="AF89" i="13" s="1"/>
  <c r="AG44" i="13" s="1"/>
  <c r="AG65" i="13"/>
  <c r="AE58" i="13" l="1"/>
  <c r="AE60" i="13" s="1"/>
  <c r="AD125" i="13"/>
  <c r="AD123" i="13"/>
  <c r="AE119" i="13"/>
  <c r="AE121" i="13" s="1"/>
  <c r="AF114" i="13"/>
  <c r="AF91" i="13"/>
  <c r="AG68" i="13"/>
  <c r="AG89" i="13" s="1"/>
  <c r="AH44" i="13" s="1"/>
  <c r="AH65" i="13"/>
  <c r="AE125" i="13" l="1"/>
  <c r="AG91" i="13"/>
  <c r="AG114" i="13"/>
  <c r="AE123" i="13"/>
  <c r="AF119" i="13"/>
  <c r="AF121" i="13" s="1"/>
  <c r="AH68" i="13"/>
  <c r="AH89" i="13" s="1"/>
  <c r="AI44" i="13" s="1"/>
  <c r="AI65" i="13"/>
  <c r="AG119" i="13" l="1"/>
  <c r="AG121" i="13" s="1"/>
  <c r="AH114" i="13"/>
  <c r="AH91" i="13"/>
  <c r="AI68" i="13"/>
  <c r="AI89" i="13" s="1"/>
  <c r="AJ44" i="13" s="1"/>
  <c r="AJ65" i="13"/>
  <c r="AF39" i="13"/>
  <c r="AF47" i="13" s="1"/>
  <c r="AL65" i="13" l="1"/>
  <c r="AN65" i="13" s="1"/>
  <c r="AN68" i="13" s="1"/>
  <c r="AN89" i="13" s="1"/>
  <c r="AO44" i="13" s="1"/>
  <c r="AK65" i="13"/>
  <c r="AM65" i="13" s="1"/>
  <c r="AJ68" i="13"/>
  <c r="AJ89" i="13" s="1"/>
  <c r="AK44" i="13" s="1"/>
  <c r="AI114" i="13"/>
  <c r="AI119" i="13" s="1"/>
  <c r="AI91" i="13"/>
  <c r="AH119" i="13"/>
  <c r="AH121" i="13" s="1"/>
  <c r="AM68" i="13" l="1"/>
  <c r="AM89" i="13" s="1"/>
  <c r="AN44" i="13" s="1"/>
  <c r="AO65" i="13"/>
  <c r="AO68" i="13" s="1"/>
  <c r="AO89" i="13" s="1"/>
  <c r="AI121" i="13"/>
  <c r="AN114" i="13"/>
  <c r="AN119" i="13" s="1"/>
  <c r="AN91" i="13"/>
  <c r="AF58" i="13"/>
  <c r="AL68" i="13"/>
  <c r="AL89" i="13" s="1"/>
  <c r="AM44" i="13" s="1"/>
  <c r="AK68" i="13"/>
  <c r="AK89" i="13" s="1"/>
  <c r="AJ91" i="13"/>
  <c r="AJ114" i="13"/>
  <c r="AJ119" i="13" s="1"/>
  <c r="AM114" i="13" l="1"/>
  <c r="AM119" i="13" s="1"/>
  <c r="AM91" i="13"/>
  <c r="AO91" i="13"/>
  <c r="AO114" i="13"/>
  <c r="AO119" i="13" s="1"/>
  <c r="AN121" i="13"/>
  <c r="AF125" i="13"/>
  <c r="AF60" i="13"/>
  <c r="AF123" i="13" s="1"/>
  <c r="AG39" i="13" s="1"/>
  <c r="AG47" i="13" s="1"/>
  <c r="AJ121" i="13"/>
  <c r="AL114" i="13"/>
  <c r="AL119" i="13" s="1"/>
  <c r="AL91" i="13"/>
  <c r="AL44" i="13"/>
  <c r="AK91" i="13"/>
  <c r="AK114" i="13"/>
  <c r="AK119" i="13" s="1"/>
  <c r="AM121" i="13" l="1"/>
  <c r="AO121" i="13"/>
  <c r="AL121" i="13"/>
  <c r="AG58" i="13"/>
  <c r="AK121" i="13"/>
  <c r="AG60" i="13" l="1"/>
  <c r="AG123" i="13" s="1"/>
  <c r="AH39" i="13" s="1"/>
  <c r="AH47" i="13" s="1"/>
  <c r="AG125" i="13"/>
  <c r="AH58" i="13" l="1"/>
  <c r="AH125" i="13" s="1"/>
  <c r="AH60" i="13" l="1"/>
  <c r="AH123" i="13" s="1"/>
  <c r="AI39" i="13" s="1"/>
  <c r="AI47" i="13" s="1"/>
  <c r="AQ123" i="13" l="1"/>
  <c r="AI58" i="13"/>
  <c r="AI125" i="13" s="1"/>
  <c r="AJ38" i="13"/>
  <c r="AI60" i="13" l="1"/>
  <c r="AI123" i="13" s="1"/>
  <c r="AJ39" i="13" l="1"/>
  <c r="AJ47" i="13" s="1"/>
  <c r="AJ58" i="13" l="1"/>
  <c r="AJ125" i="13" s="1"/>
  <c r="AK36" i="13"/>
  <c r="AJ60" i="13" l="1"/>
  <c r="AJ123" i="13" s="1"/>
  <c r="AK38" i="13" s="1"/>
  <c r="AK39" i="13" s="1"/>
  <c r="AK47" i="13" s="1"/>
  <c r="AK58" i="13" l="1"/>
  <c r="AL36" i="13"/>
  <c r="AK125" i="13" l="1"/>
  <c r="AK60" i="13"/>
  <c r="AK123" i="13" s="1"/>
  <c r="AL38" i="13" s="1"/>
  <c r="AL39" i="13" s="1"/>
  <c r="AL47" i="13" s="1"/>
  <c r="AM36" i="13" s="1"/>
  <c r="AL58" i="13" l="1"/>
  <c r="AL125" i="13" s="1"/>
  <c r="AL60" i="13" l="1"/>
  <c r="AL123" i="13" s="1"/>
  <c r="AM38" i="13" s="1"/>
  <c r="AM39" i="13" s="1"/>
  <c r="AM47" i="13" l="1"/>
  <c r="AM58" i="13" l="1"/>
  <c r="AN36" i="13"/>
  <c r="AM125" i="13" l="1"/>
  <c r="AM60" i="13"/>
  <c r="AM123" i="13" s="1"/>
  <c r="AN38" i="13" s="1"/>
  <c r="AN39" i="13" s="1"/>
  <c r="AN47" i="13" l="1"/>
  <c r="AN58" i="13" l="1"/>
  <c r="AN125" i="13" s="1"/>
  <c r="AO36" i="13"/>
  <c r="AN60" i="13" l="1"/>
  <c r="AN123" i="13" s="1"/>
  <c r="AO38" i="13" s="1"/>
  <c r="AO39" i="13" s="1"/>
  <c r="AO47" i="13" l="1"/>
  <c r="AO58" i="13" s="1"/>
  <c r="AO125" i="13" s="1"/>
  <c r="AO60" i="13" l="1"/>
  <c r="AO123" i="13" s="1"/>
  <c r="AL44" i="14"/>
  <c r="AL54" i="14" l="1"/>
  <c r="AM54" i="14" s="1"/>
  <c r="AN54" i="14" l="1"/>
  <c r="AM65" i="14"/>
  <c r="AN65" i="14" l="1"/>
  <c r="AM67" i="14"/>
  <c r="AN67" i="14" l="1"/>
  <c r="AO43" i="14" l="1"/>
  <c r="AO44" i="14" s="1"/>
  <c r="AO54" i="14" l="1"/>
  <c r="AP54" i="14" l="1"/>
  <c r="AO65" i="14"/>
  <c r="AP65" i="14" l="1"/>
  <c r="AQ54" i="14"/>
  <c r="AO67" i="14"/>
  <c r="AP67" i="14" l="1"/>
  <c r="AQ65" i="14"/>
  <c r="AQ67" i="14" l="1"/>
  <c r="AS54" i="14"/>
  <c r="AR65" i="14"/>
  <c r="AR67" i="14" l="1"/>
  <c r="AT54" i="14"/>
  <c r="AU54" i="14" l="1"/>
  <c r="AV54" i="14" l="1"/>
  <c r="AW54" i="14" l="1"/>
  <c r="AX54" i="14" s="1"/>
  <c r="AX65" i="14" s="1"/>
  <c r="AX134" i="14" l="1"/>
  <c r="AX67" i="14"/>
  <c r="AX131" i="14" s="1"/>
  <c r="AQ127" i="14"/>
  <c r="AQ129" i="14" s="1"/>
  <c r="AQ131" i="14" l="1"/>
  <c r="AQ134" i="14"/>
  <c r="AP122" i="14" l="1"/>
  <c r="AP127" i="14" s="1"/>
  <c r="AP129" i="14" s="1"/>
  <c r="AA122" i="14"/>
  <c r="W122" i="14"/>
  <c r="N122" i="14"/>
  <c r="N127" i="14" s="1"/>
  <c r="N129" i="14" s="1"/>
  <c r="N131" i="14" s="1"/>
  <c r="K122" i="14"/>
  <c r="M122" i="14"/>
  <c r="M127" i="14" s="1"/>
  <c r="M129" i="14" s="1"/>
  <c r="Q122" i="14"/>
  <c r="P122" i="14"/>
  <c r="AD122" i="14"/>
  <c r="Y122" i="14"/>
  <c r="AM122" i="14"/>
  <c r="AM127" i="14" s="1"/>
  <c r="AM129" i="14" s="1"/>
  <c r="AI122" i="14"/>
  <c r="AN122" i="14"/>
  <c r="AN127" i="14" s="1"/>
  <c r="AN129" i="14" s="1"/>
  <c r="T122" i="14"/>
  <c r="AL122" i="14"/>
  <c r="AE122" i="14"/>
  <c r="V122" i="14"/>
  <c r="AC122" i="14"/>
  <c r="R122" i="14"/>
  <c r="AG122" i="14"/>
  <c r="AO122" i="14"/>
  <c r="AO127" i="14" s="1"/>
  <c r="AO129" i="14" s="1"/>
  <c r="U122" i="14"/>
  <c r="X122" i="14"/>
  <c r="S122" i="14"/>
  <c r="Z122" i="14"/>
  <c r="AJ122" i="14"/>
  <c r="AF122" i="14"/>
  <c r="AB122" i="14"/>
  <c r="O122" i="14"/>
  <c r="O127" i="14" s="1"/>
  <c r="O129" i="14" s="1"/>
  <c r="L122" i="14"/>
  <c r="L127" i="14" s="1"/>
  <c r="L129" i="14" s="1"/>
  <c r="AH122" i="14"/>
  <c r="AK122" i="14"/>
  <c r="AN131" i="14" l="1"/>
  <c r="AN134" i="14"/>
  <c r="AO134" i="14"/>
  <c r="AO131" i="14"/>
  <c r="AP134" i="14"/>
  <c r="AP131" i="14"/>
  <c r="AM131" i="14"/>
  <c r="AM134" i="14"/>
  <c r="Q105" i="14" l="1"/>
  <c r="Q127" i="14" s="1"/>
  <c r="Q129" i="14" s="1"/>
  <c r="AA105" i="14"/>
  <c r="AA127" i="14" s="1"/>
  <c r="AA129" i="14" s="1"/>
  <c r="Q49" i="14"/>
  <c r="Q65" i="14"/>
  <c r="Q67" i="14" s="1"/>
  <c r="S49" i="14"/>
  <c r="S65" i="14" s="1"/>
  <c r="S67" i="14" s="1"/>
  <c r="AT127" i="14"/>
  <c r="AT129" i="14" s="1"/>
  <c r="T105" i="14"/>
  <c r="T127" i="14"/>
  <c r="T129" i="14" s="1"/>
  <c r="O49" i="14"/>
  <c r="O65" i="14" s="1"/>
  <c r="O67" i="14" s="1"/>
  <c r="O131" i="14" s="1"/>
  <c r="AB105" i="14"/>
  <c r="AB127" i="14" s="1"/>
  <c r="AB129" i="14" s="1"/>
  <c r="W105" i="14"/>
  <c r="W127" i="14" s="1"/>
  <c r="W129" i="14" s="1"/>
  <c r="Y49" i="14"/>
  <c r="Y65" i="14"/>
  <c r="Y67" i="14" s="1"/>
  <c r="AL105" i="14"/>
  <c r="AL127" i="14" s="1"/>
  <c r="AL129" i="14" s="1"/>
  <c r="X105" i="14"/>
  <c r="X127" i="14" s="1"/>
  <c r="X129" i="14" s="1"/>
  <c r="G105" i="14"/>
  <c r="G127" i="14" s="1"/>
  <c r="G129" i="14" s="1"/>
  <c r="G131" i="14" s="1"/>
  <c r="AD49" i="14"/>
  <c r="AD65" i="14" s="1"/>
  <c r="AI105" i="14"/>
  <c r="AJ49" i="14" s="1"/>
  <c r="AJ65" i="14" s="1"/>
  <c r="R49" i="14"/>
  <c r="R65" i="14" s="1"/>
  <c r="R67" i="14" s="1"/>
  <c r="AS65" i="14"/>
  <c r="AS127" i="14"/>
  <c r="AS129" i="14" s="1"/>
  <c r="AL49" i="14"/>
  <c r="AL65" i="14" s="1"/>
  <c r="AK105" i="14"/>
  <c r="AK127" i="14"/>
  <c r="AK129" i="14" s="1"/>
  <c r="Y105" i="14"/>
  <c r="Y127" i="14" s="1"/>
  <c r="Y129" i="14" s="1"/>
  <c r="Z105" i="14"/>
  <c r="Z127" i="14" s="1"/>
  <c r="Z129" i="14" s="1"/>
  <c r="Z131" i="14" s="1"/>
  <c r="AJ105" i="14"/>
  <c r="AJ127" i="14"/>
  <c r="AJ129" i="14" s="1"/>
  <c r="T49" i="14"/>
  <c r="T65" i="14" s="1"/>
  <c r="T67" i="14" s="1"/>
  <c r="W49" i="14"/>
  <c r="W65" i="14" s="1"/>
  <c r="W67" i="14" s="1"/>
  <c r="AD105" i="14"/>
  <c r="AD127" i="14"/>
  <c r="AD129" i="14" s="1"/>
  <c r="U105" i="14"/>
  <c r="U127" i="14" s="1"/>
  <c r="U129" i="14" s="1"/>
  <c r="U131" i="14" s="1"/>
  <c r="R105" i="14"/>
  <c r="R127" i="14" s="1"/>
  <c r="R129" i="14" s="1"/>
  <c r="AV127" i="14"/>
  <c r="AV129" i="14" s="1"/>
  <c r="K105" i="14"/>
  <c r="K127" i="14" s="1"/>
  <c r="K129" i="14" s="1"/>
  <c r="K131" i="14" s="1"/>
  <c r="L49" i="14"/>
  <c r="L65" i="14" s="1"/>
  <c r="L67" i="14" s="1"/>
  <c r="L131" i="14" s="1"/>
  <c r="M42" i="14" s="1"/>
  <c r="M44" i="14" s="1"/>
  <c r="M67" i="14" s="1"/>
  <c r="M131" i="14" s="1"/>
  <c r="H105" i="14"/>
  <c r="H127" i="14" s="1"/>
  <c r="H129" i="14" s="1"/>
  <c r="H131" i="14" s="1"/>
  <c r="I23" i="14" s="1"/>
  <c r="I44" i="14" s="1"/>
  <c r="I67" i="14" s="1"/>
  <c r="I131" i="14" s="1"/>
  <c r="P105" i="14"/>
  <c r="P127" i="14" s="1"/>
  <c r="P129" i="14" s="1"/>
  <c r="P131" i="14" s="1"/>
  <c r="V105" i="14"/>
  <c r="V127" i="14" s="1"/>
  <c r="V129" i="14" s="1"/>
  <c r="V131" i="14" s="1"/>
  <c r="S105" i="14"/>
  <c r="S127" i="14" s="1"/>
  <c r="S129" i="14" s="1"/>
  <c r="AC49" i="14"/>
  <c r="AC65" i="14" s="1"/>
  <c r="AC67" i="14" s="1"/>
  <c r="AC105" i="14"/>
  <c r="AC127" i="14" s="1"/>
  <c r="AC129" i="14" s="1"/>
  <c r="AA49" i="14"/>
  <c r="AA65" i="14" s="1"/>
  <c r="AA67" i="14" s="1"/>
  <c r="AG105" i="14"/>
  <c r="AH49" i="14" s="1"/>
  <c r="AH65" i="14" s="1"/>
  <c r="AG127" i="14"/>
  <c r="AG129" i="14" s="1"/>
  <c r="AE105" i="14"/>
  <c r="AE127" i="14" s="1"/>
  <c r="AE129" i="14" s="1"/>
  <c r="X49" i="14"/>
  <c r="X65" i="14" s="1"/>
  <c r="X67" i="14" s="1"/>
  <c r="AE49" i="14"/>
  <c r="AE65" i="14"/>
  <c r="AE67" i="14" s="1"/>
  <c r="AB49" i="14"/>
  <c r="AB65" i="14" s="1"/>
  <c r="AB67" i="14" s="1"/>
  <c r="AB131" i="14" s="1"/>
  <c r="AU127" i="14"/>
  <c r="AU129" i="14" s="1"/>
  <c r="AH105" i="14"/>
  <c r="AI49" i="14" s="1"/>
  <c r="AI65" i="14" s="1"/>
  <c r="AW127" i="14"/>
  <c r="AW129" i="14" s="1"/>
  <c r="AF105" i="14"/>
  <c r="AG49" i="14" s="1"/>
  <c r="AG65" i="14" s="1"/>
  <c r="AI127" i="14" l="1"/>
  <c r="AI129" i="14" s="1"/>
  <c r="AA131" i="14"/>
  <c r="AC134" i="14"/>
  <c r="Y131" i="14"/>
  <c r="AH127" i="14"/>
  <c r="AH129" i="14" s="1"/>
  <c r="S131" i="14"/>
  <c r="AV65" i="14"/>
  <c r="AV67" i="14" s="1"/>
  <c r="AV131" i="14" s="1"/>
  <c r="R131" i="14"/>
  <c r="AL134" i="14"/>
  <c r="AL67" i="14"/>
  <c r="AL131" i="14" s="1"/>
  <c r="AG134" i="14"/>
  <c r="AG67" i="14"/>
  <c r="AG131" i="14" s="1"/>
  <c r="AI67" i="14"/>
  <c r="AI131" i="14" s="1"/>
  <c r="AI134" i="14"/>
  <c r="AJ134" i="14"/>
  <c r="AJ67" i="14"/>
  <c r="AJ131" i="14" s="1"/>
  <c r="AE131" i="14"/>
  <c r="AC131" i="14"/>
  <c r="X131" i="14"/>
  <c r="T131" i="14"/>
  <c r="AH67" i="14"/>
  <c r="AH131" i="14" s="1"/>
  <c r="AH134" i="14"/>
  <c r="AK134" i="14"/>
  <c r="AK131" i="14"/>
  <c r="AS134" i="14"/>
  <c r="AS67" i="14"/>
  <c r="AS131" i="14" s="1"/>
  <c r="AD67" i="14"/>
  <c r="AD131" i="14" s="1"/>
  <c r="AD134" i="14"/>
  <c r="W131" i="14"/>
  <c r="Q131" i="14"/>
  <c r="AF49" i="14"/>
  <c r="AF65" i="14" s="1"/>
  <c r="AT65" i="14"/>
  <c r="AR127" i="14"/>
  <c r="AR129" i="14" s="1"/>
  <c r="AW65" i="14"/>
  <c r="AF127" i="14"/>
  <c r="AF129" i="14" s="1"/>
  <c r="AU65" i="14"/>
  <c r="AE134" i="14"/>
  <c r="AV134" i="14" l="1"/>
  <c r="AF134" i="14"/>
  <c r="AF67" i="14"/>
  <c r="AF131" i="14" s="1"/>
  <c r="AT67" i="14"/>
  <c r="AT131" i="14" s="1"/>
  <c r="AT134" i="14"/>
  <c r="AR134" i="14"/>
  <c r="AR131" i="14"/>
  <c r="AU67" i="14"/>
  <c r="AU131" i="14" s="1"/>
  <c r="AU134" i="14"/>
  <c r="AW67" i="14"/>
  <c r="AW131" i="14" s="1"/>
  <c r="AW134" i="14"/>
</calcChain>
</file>

<file path=xl/comments1.xml><?xml version="1.0" encoding="utf-8"?>
<comments xmlns="http://schemas.openxmlformats.org/spreadsheetml/2006/main">
  <authors>
    <author>cpoppendieck</author>
    <author xml:space="preserve"> </author>
  </authors>
  <commentList>
    <comment ref="AG18" authorId="0" shapeId="0">
      <text>
        <r>
          <rPr>
            <b/>
            <sz val="9"/>
            <color indexed="81"/>
            <rFont val="Tahoma"/>
            <family val="2"/>
          </rPr>
          <t>cpoppendieck:</t>
        </r>
        <r>
          <rPr>
            <sz val="9"/>
            <color indexed="81"/>
            <rFont val="Tahoma"/>
            <family val="2"/>
          </rPr>
          <t xml:space="preserve">
Input June Ending Actual Cash Balance per Bank,
Remove highlights before printing</t>
        </r>
      </text>
    </comment>
    <comment ref="AG39" authorId="0" shapeId="0">
      <text>
        <r>
          <rPr>
            <b/>
            <sz val="9"/>
            <color indexed="81"/>
            <rFont val="Tahoma"/>
            <family val="2"/>
          </rPr>
          <t>cpoppendieck: Adjust if necessary so that Interest &amp; savings = close to what Reserves balance has listed.</t>
        </r>
      </text>
    </comment>
    <comment ref="AH39" authorId="0" shapeId="0">
      <text>
        <r>
          <rPr>
            <b/>
            <sz val="9"/>
            <color indexed="81"/>
            <rFont val="Tahoma"/>
            <family val="2"/>
          </rPr>
          <t>cpoppendieck:</t>
        </r>
        <r>
          <rPr>
            <sz val="9"/>
            <color indexed="81"/>
            <rFont val="Tahoma"/>
            <family val="2"/>
          </rPr>
          <t xml:space="preserve">
Adjust so that Interest &amp; Savings increase $600-$900/mth</t>
        </r>
      </text>
    </comment>
    <comment ref="L42" authorId="1" shapeId="0">
      <text>
        <r>
          <rPr>
            <b/>
            <sz val="10"/>
            <color indexed="81"/>
            <rFont val="Tahoma"/>
            <family val="2"/>
          </rPr>
          <t>MOVED OM LOAN FEES &amp; INT TO DEV LOAN FUND AS WELL AS $622 PER MONTH INT PAYMENTS 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G42" authorId="0" shapeId="0">
      <text>
        <r>
          <rPr>
            <b/>
            <sz val="9"/>
            <color indexed="81"/>
            <rFont val="Tahoma"/>
            <family val="2"/>
          </rPr>
          <t>cpoppendieck:</t>
        </r>
        <r>
          <rPr>
            <sz val="9"/>
            <color indexed="81"/>
            <rFont val="Tahoma"/>
            <family val="2"/>
          </rPr>
          <t xml:space="preserve">
Unhide June column to see formula is changed: first number to the Previous month ending balance for Reserves minus Guild through Recovered Funds (row 25-37) (all the separate pieces of Reserves)</t>
        </r>
      </text>
    </comment>
    <comment ref="AH42" authorId="0" shapeId="0">
      <text>
        <r>
          <rPr>
            <b/>
            <sz val="9"/>
            <color indexed="81"/>
            <rFont val="Tahoma"/>
            <family val="2"/>
          </rPr>
          <t>cpoppendieck:</t>
        </r>
        <r>
          <rPr>
            <sz val="9"/>
            <color indexed="81"/>
            <rFont val="Tahoma"/>
            <family val="2"/>
          </rPr>
          <t xml:space="preserve">
Verify Interest and Savings goes up only about 600-$900/mth by adjusting Cash-MyHome/Dream</t>
        </r>
      </text>
    </comment>
    <comment ref="AG50" authorId="0" shapeId="0">
      <text>
        <r>
          <rPr>
            <b/>
            <sz val="9"/>
            <color indexed="81"/>
            <rFont val="Tahoma"/>
            <family val="2"/>
          </rPr>
          <t>cpoppendieck:</t>
        </r>
        <r>
          <rPr>
            <sz val="9"/>
            <color indexed="81"/>
            <rFont val="Tahoma"/>
            <family val="2"/>
          </rPr>
          <t xml:space="preserve">
Enter June payment that will be received in July if known before this report is due.</t>
        </r>
      </text>
    </comment>
    <comment ref="AF54" authorId="0" shapeId="0">
      <text>
        <r>
          <rPr>
            <b/>
            <sz val="9"/>
            <color indexed="81"/>
            <rFont val="Tahoma"/>
            <family val="2"/>
          </rPr>
          <t>cpoppendieck:</t>
        </r>
        <r>
          <rPr>
            <sz val="9"/>
            <color indexed="81"/>
            <rFont val="Tahoma"/>
            <family val="2"/>
          </rPr>
          <t xml:space="preserve">
added $450 for commercial loan</t>
        </r>
      </text>
    </comment>
    <comment ref="AJ56" authorId="0" shapeId="0">
      <text>
        <r>
          <rPr>
            <b/>
            <sz val="9"/>
            <color indexed="81"/>
            <rFont val="Tahoma"/>
            <family val="2"/>
          </rPr>
          <t>cpoppendieck:</t>
        </r>
        <r>
          <rPr>
            <sz val="9"/>
            <color indexed="81"/>
            <rFont val="Tahoma"/>
            <family val="2"/>
          </rPr>
          <t xml:space="preserve">
LUSK - SAUCIER ADVANCE</t>
        </r>
      </text>
    </comment>
    <comment ref="AK56" authorId="0" shapeId="0">
      <text>
        <r>
          <rPr>
            <b/>
            <sz val="9"/>
            <color indexed="81"/>
            <rFont val="Tahoma"/>
            <family val="2"/>
          </rPr>
          <t>cpoppendieck:</t>
        </r>
        <r>
          <rPr>
            <sz val="9"/>
            <color indexed="81"/>
            <rFont val="Tahoma"/>
            <family val="2"/>
          </rPr>
          <t xml:space="preserve">
WEIGEL - LANDON LANE</t>
        </r>
      </text>
    </comment>
    <comment ref="U74" authorId="0" shapeId="0">
      <text>
        <r>
          <rPr>
            <b/>
            <sz val="8"/>
            <color indexed="81"/>
            <rFont val="Tahoma"/>
            <family val="2"/>
          </rPr>
          <t>cpoppendieck: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BUTLER SNOW FOR NMTC APPLIC $29K</t>
        </r>
      </text>
    </comment>
    <comment ref="AF83" authorId="0" shapeId="0">
      <text>
        <r>
          <rPr>
            <b/>
            <sz val="9"/>
            <color indexed="81"/>
            <rFont val="Tahoma"/>
            <family val="2"/>
          </rPr>
          <t>cpoppendieck:</t>
        </r>
        <r>
          <rPr>
            <sz val="9"/>
            <color indexed="81"/>
            <rFont val="Tahoma"/>
            <family val="2"/>
          </rPr>
          <t xml:space="preserve">
Added Insurance pymt consolidation</t>
        </r>
      </text>
    </comment>
    <comment ref="AF87" authorId="0" shapeId="0">
      <text>
        <r>
          <rPr>
            <b/>
            <sz val="9"/>
            <color indexed="81"/>
            <rFont val="Tahoma"/>
            <family val="2"/>
          </rPr>
          <t>cpoppendieck:</t>
        </r>
        <r>
          <rPr>
            <sz val="9"/>
            <color indexed="81"/>
            <rFont val="Tahoma"/>
            <family val="2"/>
          </rPr>
          <t xml:space="preserve">
added avl fees
</t>
        </r>
      </text>
    </comment>
    <comment ref="AG87" authorId="0" shapeId="0">
      <text>
        <r>
          <rPr>
            <b/>
            <sz val="9"/>
            <color indexed="81"/>
            <rFont val="Tahoma"/>
            <family val="2"/>
          </rPr>
          <t>cpoppendieck:</t>
        </r>
        <r>
          <rPr>
            <sz val="9"/>
            <color indexed="81"/>
            <rFont val="Tahoma"/>
            <family val="2"/>
          </rPr>
          <t xml:space="preserve">
added balance of avl fees</t>
        </r>
      </text>
    </comment>
    <comment ref="AK98" authorId="0" shapeId="0">
      <text>
        <r>
          <rPr>
            <b/>
            <sz val="9"/>
            <color indexed="81"/>
            <rFont val="Tahoma"/>
            <family val="2"/>
          </rPr>
          <t>cpoppendieck:</t>
        </r>
        <r>
          <rPr>
            <sz val="9"/>
            <color indexed="81"/>
            <rFont val="Tahoma"/>
            <family val="2"/>
          </rPr>
          <t xml:space="preserve">
3 Payperiods</t>
        </r>
      </text>
    </comment>
    <comment ref="T101" authorId="0" shapeId="0">
      <text>
        <r>
          <rPr>
            <b/>
            <sz val="8"/>
            <color indexed="81"/>
            <rFont val="Tahoma"/>
            <family val="2"/>
          </rPr>
          <t>cpoppendieck: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500 MH MDA LOANS CLOSED AT 6/30/11; BUDGET 605 LOANS</t>
        </r>
      </text>
    </comment>
    <comment ref="AF110" authorId="0" shapeId="0">
      <text>
        <r>
          <rPr>
            <b/>
            <sz val="9"/>
            <color indexed="81"/>
            <rFont val="Tahoma"/>
            <family val="2"/>
          </rPr>
          <t>cpoppendieck:</t>
        </r>
        <r>
          <rPr>
            <sz val="9"/>
            <color indexed="81"/>
            <rFont val="Tahoma"/>
            <family val="2"/>
          </rPr>
          <t xml:space="preserve">
$899 5 more months after May12 for George Overing</t>
        </r>
      </text>
    </comment>
    <comment ref="AJ111" authorId="0" shapeId="0">
      <text>
        <r>
          <rPr>
            <b/>
            <sz val="9"/>
            <color indexed="81"/>
            <rFont val="Tahoma"/>
            <family val="2"/>
          </rPr>
          <t>cpoppendieck:</t>
        </r>
        <r>
          <rPr>
            <sz val="9"/>
            <color indexed="81"/>
            <rFont val="Tahoma"/>
            <family val="2"/>
          </rPr>
          <t xml:space="preserve">
$137,963 LEFT TO FUND PER THU REPORT</t>
        </r>
      </text>
    </comment>
    <comment ref="U114" authorId="0" shapeId="0">
      <text>
        <r>
          <rPr>
            <b/>
            <sz val="8"/>
            <color indexed="81"/>
            <rFont val="Tahoma"/>
            <family val="2"/>
          </rPr>
          <t>cpoppendieck: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PURCHASE DEANNA TUCKER 1ST MORTGAGE</t>
        </r>
      </text>
    </comment>
    <comment ref="A115" authorId="1" shapeId="0">
      <text>
        <r>
          <rPr>
            <b/>
            <sz val="10"/>
            <color indexed="81"/>
            <rFont val="Tahoma"/>
            <family val="2"/>
          </rPr>
          <t>REQUESTING REMAINING PREFUNDING BE ALLOCATED TO SR HOUSING - PAVILLION PLACE $1.3M</t>
        </r>
        <r>
          <rPr>
            <b/>
            <sz val="8"/>
            <color indexed="81"/>
            <rFont val="Tahoma"/>
            <family val="2"/>
          </rPr>
          <t xml:space="preserve"> :  </t>
        </r>
        <r>
          <rPr>
            <b/>
            <sz val="10"/>
            <color indexed="81"/>
            <rFont val="Tahoma"/>
            <family val="2"/>
          </rPr>
          <t>Was ST HAZARD MITIGATION FOR $2M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cpoppendieck</author>
    <author xml:space="preserve"> </author>
  </authors>
  <commentList>
    <comment ref="AG17" authorId="0" shapeId="0">
      <text>
        <r>
          <rPr>
            <b/>
            <sz val="9"/>
            <color indexed="81"/>
            <rFont val="Tahoma"/>
            <family val="2"/>
          </rPr>
          <t>cpoppendieck:</t>
        </r>
        <r>
          <rPr>
            <sz val="9"/>
            <color indexed="81"/>
            <rFont val="Tahoma"/>
            <family val="2"/>
          </rPr>
          <t xml:space="preserve">
Input June Ending Actual Cash Balance per Bank,
Remove highlights before printing</t>
        </r>
      </text>
    </comment>
    <comment ref="AG25" authorId="0" shapeId="0">
      <text>
        <r>
          <rPr>
            <b/>
            <sz val="9"/>
            <color indexed="81"/>
            <rFont val="Tahoma"/>
            <family val="2"/>
          </rPr>
          <t>cpoppendieck:</t>
        </r>
        <r>
          <rPr>
            <sz val="9"/>
            <color indexed="81"/>
            <rFont val="Tahoma"/>
            <family val="2"/>
          </rPr>
          <t xml:space="preserve">
enter June ending balances from GCCF Reserves tracking tab.</t>
        </r>
      </text>
    </comment>
    <comment ref="AG27" authorId="0" shapeId="0">
      <text>
        <r>
          <rPr>
            <b/>
            <sz val="9"/>
            <color indexed="81"/>
            <rFont val="Tahoma"/>
            <family val="2"/>
          </rPr>
          <t>cpoppendieck: Adjust if necessary so that Interest &amp; savings = close to what Reserves balance has listed.</t>
        </r>
      </text>
    </comment>
    <comment ref="AH27" authorId="0" shapeId="0">
      <text>
        <r>
          <rPr>
            <b/>
            <sz val="9"/>
            <color indexed="81"/>
            <rFont val="Tahoma"/>
            <family val="2"/>
          </rPr>
          <t>cpoppendieck:</t>
        </r>
        <r>
          <rPr>
            <sz val="9"/>
            <color indexed="81"/>
            <rFont val="Tahoma"/>
            <family val="2"/>
          </rPr>
          <t xml:space="preserve">
Adjust so that Interest &amp; Savings increase $600-$900/mth</t>
        </r>
      </text>
    </comment>
    <comment ref="L38" authorId="1" shapeId="0">
      <text>
        <r>
          <rPr>
            <b/>
            <sz val="10"/>
            <color indexed="81"/>
            <rFont val="Tahoma"/>
            <family val="2"/>
          </rPr>
          <t>MOVED OM LOAN FEES &amp; INT TO DEV LOAN FUND AS WELL AS $622 PER MONTH INT PAYMENTS 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G38" authorId="0" shapeId="0">
      <text>
        <r>
          <rPr>
            <b/>
            <sz val="9"/>
            <color indexed="81"/>
            <rFont val="Tahoma"/>
            <family val="2"/>
          </rPr>
          <t>cpoppendieck:</t>
        </r>
        <r>
          <rPr>
            <sz val="9"/>
            <color indexed="81"/>
            <rFont val="Tahoma"/>
            <family val="2"/>
          </rPr>
          <t xml:space="preserve">
Unhide June column to see formula is changed: first number to the Previous month ending balance for Reserves minus Guild through Recovered Funds (row 25-37) (all the separate pieces of Reserves)</t>
        </r>
      </text>
    </comment>
    <comment ref="AH38" authorId="0" shapeId="0">
      <text>
        <r>
          <rPr>
            <b/>
            <sz val="9"/>
            <color indexed="81"/>
            <rFont val="Tahoma"/>
            <family val="2"/>
          </rPr>
          <t>cpoppendieck:</t>
        </r>
        <r>
          <rPr>
            <sz val="9"/>
            <color indexed="81"/>
            <rFont val="Tahoma"/>
            <family val="2"/>
          </rPr>
          <t xml:space="preserve">
Verify Interest and Savings goes up only about 600-$900/mth by adjusting Cash-MyHome/Dream</t>
        </r>
      </text>
    </comment>
    <comment ref="AG45" authorId="0" shapeId="0">
      <text>
        <r>
          <rPr>
            <b/>
            <sz val="9"/>
            <color indexed="81"/>
            <rFont val="Tahoma"/>
            <family val="2"/>
          </rPr>
          <t>cpoppendieck:</t>
        </r>
        <r>
          <rPr>
            <sz val="9"/>
            <color indexed="81"/>
            <rFont val="Tahoma"/>
            <family val="2"/>
          </rPr>
          <t xml:space="preserve">
Enter June payment that will be received in July if known before this report is due.</t>
        </r>
      </text>
    </comment>
    <comment ref="AF47" authorId="0" shapeId="0">
      <text>
        <r>
          <rPr>
            <b/>
            <sz val="9"/>
            <color indexed="81"/>
            <rFont val="Tahoma"/>
            <family val="2"/>
          </rPr>
          <t>cpoppendieck:</t>
        </r>
        <r>
          <rPr>
            <sz val="9"/>
            <color indexed="81"/>
            <rFont val="Tahoma"/>
            <family val="2"/>
          </rPr>
          <t xml:space="preserve">
added $450 for commercial loan</t>
        </r>
      </text>
    </comment>
    <comment ref="AJ49" authorId="0" shapeId="0">
      <text>
        <r>
          <rPr>
            <b/>
            <sz val="9"/>
            <color indexed="81"/>
            <rFont val="Tahoma"/>
            <family val="2"/>
          </rPr>
          <t>cpoppendieck:</t>
        </r>
        <r>
          <rPr>
            <sz val="9"/>
            <color indexed="81"/>
            <rFont val="Tahoma"/>
            <family val="2"/>
          </rPr>
          <t xml:space="preserve">
LUSK - SAUCIER ADVANCE</t>
        </r>
      </text>
    </comment>
    <comment ref="AK49" authorId="0" shapeId="0">
      <text>
        <r>
          <rPr>
            <b/>
            <sz val="9"/>
            <color indexed="81"/>
            <rFont val="Tahoma"/>
            <family val="2"/>
          </rPr>
          <t>cpoppendieck:</t>
        </r>
        <r>
          <rPr>
            <sz val="9"/>
            <color indexed="81"/>
            <rFont val="Tahoma"/>
            <family val="2"/>
          </rPr>
          <t xml:space="preserve">
WEIGEL - LANDON LANE</t>
        </r>
      </text>
    </comment>
    <comment ref="U67" authorId="0" shapeId="0">
      <text>
        <r>
          <rPr>
            <b/>
            <sz val="8"/>
            <color indexed="81"/>
            <rFont val="Tahoma"/>
            <family val="2"/>
          </rPr>
          <t>cpoppendieck: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BUTLER SNOW FOR NMTC APPLIC $29K</t>
        </r>
      </text>
    </comment>
    <comment ref="AF76" authorId="0" shapeId="0">
      <text>
        <r>
          <rPr>
            <b/>
            <sz val="9"/>
            <color indexed="81"/>
            <rFont val="Tahoma"/>
            <family val="2"/>
          </rPr>
          <t>cpoppendieck:</t>
        </r>
        <r>
          <rPr>
            <sz val="9"/>
            <color indexed="81"/>
            <rFont val="Tahoma"/>
            <family val="2"/>
          </rPr>
          <t xml:space="preserve">
Added Insurance pymt consolidation</t>
        </r>
      </text>
    </comment>
    <comment ref="AF80" authorId="0" shapeId="0">
      <text>
        <r>
          <rPr>
            <b/>
            <sz val="9"/>
            <color indexed="81"/>
            <rFont val="Tahoma"/>
            <family val="2"/>
          </rPr>
          <t>cpoppendieck:</t>
        </r>
        <r>
          <rPr>
            <sz val="9"/>
            <color indexed="81"/>
            <rFont val="Tahoma"/>
            <family val="2"/>
          </rPr>
          <t xml:space="preserve">
added avl fees
</t>
        </r>
      </text>
    </comment>
    <comment ref="AG80" authorId="0" shapeId="0">
      <text>
        <r>
          <rPr>
            <b/>
            <sz val="9"/>
            <color indexed="81"/>
            <rFont val="Tahoma"/>
            <family val="2"/>
          </rPr>
          <t>cpoppendieck:</t>
        </r>
        <r>
          <rPr>
            <sz val="9"/>
            <color indexed="81"/>
            <rFont val="Tahoma"/>
            <family val="2"/>
          </rPr>
          <t xml:space="preserve">
added balance of avl fees</t>
        </r>
      </text>
    </comment>
    <comment ref="AK91" authorId="0" shapeId="0">
      <text>
        <r>
          <rPr>
            <b/>
            <sz val="9"/>
            <color indexed="81"/>
            <rFont val="Tahoma"/>
            <family val="2"/>
          </rPr>
          <t>cpoppendieck:</t>
        </r>
        <r>
          <rPr>
            <sz val="9"/>
            <color indexed="81"/>
            <rFont val="Tahoma"/>
            <family val="2"/>
          </rPr>
          <t xml:space="preserve">
3 Payperiods</t>
        </r>
      </text>
    </comment>
    <comment ref="T94" authorId="0" shapeId="0">
      <text>
        <r>
          <rPr>
            <b/>
            <sz val="8"/>
            <color indexed="81"/>
            <rFont val="Tahoma"/>
            <family val="2"/>
          </rPr>
          <t>cpoppendieck: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500 MH MDA LOANS CLOSED AT 6/30/11; BUDGET 605 LOANS</t>
        </r>
      </text>
    </comment>
    <comment ref="AF103" authorId="0" shapeId="0">
      <text>
        <r>
          <rPr>
            <b/>
            <sz val="9"/>
            <color indexed="81"/>
            <rFont val="Tahoma"/>
            <family val="2"/>
          </rPr>
          <t>cpoppendieck:</t>
        </r>
        <r>
          <rPr>
            <sz val="9"/>
            <color indexed="81"/>
            <rFont val="Tahoma"/>
            <family val="2"/>
          </rPr>
          <t xml:space="preserve">
$899 5 more months after May12 for George Overing</t>
        </r>
      </text>
    </comment>
    <comment ref="AJ104" authorId="0" shapeId="0">
      <text>
        <r>
          <rPr>
            <b/>
            <sz val="9"/>
            <color indexed="81"/>
            <rFont val="Tahoma"/>
            <family val="2"/>
          </rPr>
          <t>cpoppendieck:</t>
        </r>
        <r>
          <rPr>
            <sz val="9"/>
            <color indexed="81"/>
            <rFont val="Tahoma"/>
            <family val="2"/>
          </rPr>
          <t xml:space="preserve">
$137,963 LEFT TO FUND PER THU REPORT</t>
        </r>
      </text>
    </comment>
    <comment ref="U107" authorId="0" shapeId="0">
      <text>
        <r>
          <rPr>
            <b/>
            <sz val="8"/>
            <color indexed="81"/>
            <rFont val="Tahoma"/>
            <family val="2"/>
          </rPr>
          <t>cpoppendieck: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PURCHASE DEANNA TUCKER 1ST MORTGAGE</t>
        </r>
      </text>
    </comment>
    <comment ref="A108" authorId="1" shapeId="0">
      <text>
        <r>
          <rPr>
            <b/>
            <sz val="10"/>
            <color indexed="81"/>
            <rFont val="Tahoma"/>
            <family val="2"/>
          </rPr>
          <t>REQUESTING REMAINING PREFUNDING BE ALLOCATED TO SR HOUSING - PAVILLION PLACE $1.3M</t>
        </r>
        <r>
          <rPr>
            <b/>
            <sz val="8"/>
            <color indexed="81"/>
            <rFont val="Tahoma"/>
            <family val="2"/>
          </rPr>
          <t xml:space="preserve"> :  </t>
        </r>
        <r>
          <rPr>
            <b/>
            <sz val="10"/>
            <color indexed="81"/>
            <rFont val="Tahoma"/>
            <family val="2"/>
          </rPr>
          <t>Was ST HAZARD MITIGATION FOR $2M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<sst xmlns="http://schemas.openxmlformats.org/spreadsheetml/2006/main" count="1524" uniqueCount="288">
  <si>
    <t>Gulf Coast Renaissance Corporation</t>
  </si>
  <si>
    <t xml:space="preserve"> </t>
  </si>
  <si>
    <t>Annual</t>
  </si>
  <si>
    <t>Explanation</t>
  </si>
  <si>
    <t>President/CEO</t>
  </si>
  <si>
    <t>Executive VP/CFO</t>
  </si>
  <si>
    <t>Chief Operating and Development Officer</t>
  </si>
  <si>
    <t>Controller</t>
  </si>
  <si>
    <t>Director of Community Affairs</t>
  </si>
  <si>
    <t>Project Manager</t>
  </si>
  <si>
    <t>Program Manager - REACH</t>
  </si>
  <si>
    <t>Program Manager - Guild</t>
  </si>
  <si>
    <t>Grants Manager</t>
  </si>
  <si>
    <t>Executive Assistant</t>
  </si>
  <si>
    <t>Administrative Assistant</t>
  </si>
  <si>
    <t xml:space="preserve">  </t>
  </si>
  <si>
    <t xml:space="preserve">Beginning Cash Balance </t>
  </si>
  <si>
    <t>Projected Revenues</t>
  </si>
  <si>
    <t>Investment Maturing</t>
  </si>
  <si>
    <t>Less Invested Revenues</t>
  </si>
  <si>
    <t xml:space="preserve">Operating Income </t>
  </si>
  <si>
    <t>Salaries</t>
  </si>
  <si>
    <t xml:space="preserve">Six employees </t>
  </si>
  <si>
    <t>Benefits</t>
  </si>
  <si>
    <t>25 % benefit rate</t>
  </si>
  <si>
    <t>Auto Allowance</t>
  </si>
  <si>
    <t>Auto allowance of the President</t>
  </si>
  <si>
    <t>Bonuses</t>
  </si>
  <si>
    <t xml:space="preserve">Bonus </t>
  </si>
  <si>
    <t>Consultant/Professional Fees</t>
  </si>
  <si>
    <t>Fees for Consultants for various programs CDFI, MS Loan Fund, REACH, etc.</t>
  </si>
  <si>
    <t>Subtotal</t>
  </si>
  <si>
    <t>Other:</t>
  </si>
  <si>
    <t>Rent (150sf/person @ $10/sf)</t>
  </si>
  <si>
    <t>(150sf/person @ $10/sf)</t>
  </si>
  <si>
    <t>Telephone - office (includes fax)</t>
  </si>
  <si>
    <t>Phone service includes fax line</t>
  </si>
  <si>
    <t>Telephone - cellular</t>
  </si>
  <si>
    <t>Five phones at an average of $125 per phone per month</t>
  </si>
  <si>
    <t>Computer Expenses</t>
  </si>
  <si>
    <t>Information system services from a third party ($90/hr)</t>
  </si>
  <si>
    <t>Postage</t>
  </si>
  <si>
    <t>Average monthly postage for mailers and office postage</t>
  </si>
  <si>
    <t>Office Expense &amp; Supples</t>
  </si>
  <si>
    <t>Average monthly office expense, copy paper, toner, etc. $200/mo &amp; Copy machine lease $200/mo</t>
  </si>
  <si>
    <t>Advertising/Marketing</t>
  </si>
  <si>
    <t>Meetings/Seminars</t>
  </si>
  <si>
    <t>Conference updates for President and COO (ULI), REACH Partner meetings, Advisory Boards and other meetings</t>
  </si>
  <si>
    <t>Dues/Memberships/CE</t>
  </si>
  <si>
    <t>Continuing Education for the President, COO and CFO $2,000 each annually</t>
  </si>
  <si>
    <t>Accounting, audit &amp; tax preparation</t>
  </si>
  <si>
    <t>Audit fees $10,000 annually, Payroll processing fees $4,200, Accounts Payable processing fees $3,600 annually</t>
  </si>
  <si>
    <t>Bank Charges</t>
  </si>
  <si>
    <t>Legal fees $24,000 annually</t>
  </si>
  <si>
    <t>Travel</t>
  </si>
  <si>
    <t>Monthly bank service fee</t>
  </si>
  <si>
    <t>Depreciation</t>
  </si>
  <si>
    <t>Travel based upon an average of actual travel in 2007 with addition of COO</t>
  </si>
  <si>
    <t>Interest Expense</t>
  </si>
  <si>
    <t>Depreciation of Computers and donated office equipment</t>
  </si>
  <si>
    <t>Interest Income</t>
  </si>
  <si>
    <t>Assumption no borrowing in FY 2008</t>
  </si>
  <si>
    <t>Total</t>
  </si>
  <si>
    <t>Cumulative</t>
  </si>
  <si>
    <t>Ending Cash Balance</t>
  </si>
  <si>
    <t>Cash In-flow Sources</t>
  </si>
  <si>
    <t>Janurary</t>
  </si>
  <si>
    <t xml:space="preserve">Knight Foundation </t>
  </si>
  <si>
    <t>Feburary</t>
  </si>
  <si>
    <t>Southern Company Foundation</t>
  </si>
  <si>
    <t xml:space="preserve">April </t>
  </si>
  <si>
    <t>June</t>
  </si>
  <si>
    <t xml:space="preserve">August </t>
  </si>
  <si>
    <t>October</t>
  </si>
  <si>
    <t>Knight Foundation annual administrative support, $150,000 will be invested</t>
  </si>
  <si>
    <t>November</t>
  </si>
  <si>
    <t>December</t>
  </si>
  <si>
    <t>Knight Foundation</t>
  </si>
  <si>
    <t>Legal Fees</t>
  </si>
  <si>
    <t>Average monthly office expense, copy paper, toner, etc. $300/mo &amp; Copy machine lease $300/mo</t>
  </si>
  <si>
    <t>Administration Costs</t>
  </si>
  <si>
    <t>Office expense/Supplies</t>
  </si>
  <si>
    <t>Printing of brochures, marketing materials</t>
  </si>
  <si>
    <t>REACH</t>
  </si>
  <si>
    <t>Community/Technical Board</t>
  </si>
  <si>
    <t>Renaissance Guild</t>
  </si>
  <si>
    <t>CDFI</t>
  </si>
  <si>
    <t>MS Loan Fund</t>
  </si>
  <si>
    <t>Site Acceleration Fund</t>
  </si>
  <si>
    <t>Wachovia Grant</t>
  </si>
  <si>
    <t>$1,500 Adminstrative fee</t>
  </si>
  <si>
    <t>Salary</t>
  </si>
  <si>
    <t>Payroll:</t>
  </si>
  <si>
    <t>Revenues:</t>
  </si>
  <si>
    <t>Total Revenues</t>
  </si>
  <si>
    <t>Captial Expenditures</t>
  </si>
  <si>
    <t>Less:</t>
  </si>
  <si>
    <t>Fund available for expenses</t>
  </si>
  <si>
    <t>REACH - MS</t>
  </si>
  <si>
    <t>Program Costs</t>
  </si>
  <si>
    <t>Program</t>
  </si>
  <si>
    <t>Program Excess/Deficit</t>
  </si>
  <si>
    <t>Total Expenses</t>
  </si>
  <si>
    <t>Budget Excess/Deficit</t>
  </si>
  <si>
    <t>Advisory</t>
  </si>
  <si>
    <t>Wachovia</t>
  </si>
  <si>
    <t>GCCF</t>
  </si>
  <si>
    <t>G&amp;A</t>
  </si>
  <si>
    <t>Wachovia REACH MS MBE/WBE</t>
  </si>
  <si>
    <t>Qtrly meetings</t>
  </si>
  <si>
    <t>30 % Promotional materials ($15,000*30%)</t>
  </si>
  <si>
    <t>Advertising $1,000, 20% of Promotional materials ($15,000*20%)</t>
  </si>
  <si>
    <t xml:space="preserve">House  </t>
  </si>
  <si>
    <t>Qtrly meetings, Meetings house give away, Educational forums and Capstone awards</t>
  </si>
  <si>
    <t>2009 Operating Budget</t>
  </si>
  <si>
    <t>2009 Cash Flow</t>
  </si>
  <si>
    <t>Renaissance</t>
  </si>
  <si>
    <t>Rent</t>
  </si>
  <si>
    <t>Professional Services</t>
  </si>
  <si>
    <t>Admin &amp; Program</t>
  </si>
  <si>
    <t>MSU</t>
  </si>
  <si>
    <t>Bankography = market study $6.2K, Consulting $24k</t>
  </si>
  <si>
    <t>Loan Software &amp; PC Equipment</t>
  </si>
  <si>
    <t>Reach Scholarships - MBE/WBE</t>
  </si>
  <si>
    <t>Loans</t>
  </si>
  <si>
    <t>GCCF-267 Scolarships</t>
  </si>
  <si>
    <t>Total Salary/Benefits/Prof Fees</t>
  </si>
  <si>
    <t>Professional Fees</t>
  </si>
  <si>
    <t>MSU Guild</t>
  </si>
  <si>
    <t>Knight</t>
  </si>
  <si>
    <t>JCCA-Scholarships</t>
  </si>
  <si>
    <t>MyHome MDA</t>
  </si>
  <si>
    <t>Reach MDA</t>
  </si>
  <si>
    <t>Cottages</t>
  </si>
  <si>
    <t>Program Revenues</t>
  </si>
  <si>
    <t>Operating Expenses</t>
  </si>
  <si>
    <t>Admin Expenses</t>
  </si>
  <si>
    <t>Wachovia Scholarships</t>
  </si>
  <si>
    <t>Cottages Admin</t>
  </si>
  <si>
    <t>Total Program Expenses</t>
  </si>
  <si>
    <t>Total Program Revenues</t>
  </si>
  <si>
    <t>Total Available Cash</t>
  </si>
  <si>
    <t>Cottages Program</t>
  </si>
  <si>
    <t>Living Cities</t>
  </si>
  <si>
    <t>Assumptions</t>
  </si>
  <si>
    <t>Advertising/Program Promo</t>
  </si>
  <si>
    <t>MYHOME</t>
  </si>
  <si>
    <t>#Loans</t>
  </si>
  <si>
    <t>Admin</t>
  </si>
  <si>
    <t>Avg Assist</t>
  </si>
  <si>
    <t>Avg Pymt</t>
  </si>
  <si>
    <t>Program Expenditures</t>
  </si>
  <si>
    <t>MyHome Mortgage Payments</t>
  </si>
  <si>
    <t>Living City-Old Mills</t>
  </si>
  <si>
    <t>Total Cash Balance</t>
  </si>
  <si>
    <t>Aug-Dec #loans</t>
  </si>
  <si>
    <t>Jul # loans</t>
  </si>
  <si>
    <t>Total Loan Capacity</t>
  </si>
  <si>
    <t>Developer Loan Fund</t>
  </si>
  <si>
    <t>Guild Fees</t>
  </si>
  <si>
    <t>Elevation ($171,000)</t>
  </si>
  <si>
    <t xml:space="preserve">     Rental Assistance</t>
  </si>
  <si>
    <t xml:space="preserve">     THU (Fema Trailers)</t>
  </si>
  <si>
    <t xml:space="preserve">     Guild</t>
  </si>
  <si>
    <t xml:space="preserve">     Knight Foundation</t>
  </si>
  <si>
    <t xml:space="preserve">     Elevation</t>
  </si>
  <si>
    <t xml:space="preserve">     Eco-Cottage</t>
  </si>
  <si>
    <t>THU Fema Trailers ($2.5M)</t>
  </si>
  <si>
    <t>Knight Allocated Admin Expenses</t>
  </si>
  <si>
    <t>Developer Loan Fund (Old Mills-$1M)</t>
  </si>
  <si>
    <t>Rental Assistance ($1.292M)</t>
  </si>
  <si>
    <t>12 employees</t>
  </si>
  <si>
    <t>THU Payments</t>
  </si>
  <si>
    <t>Eco-Cottages ($239,650)</t>
  </si>
  <si>
    <t xml:space="preserve">Total Admin </t>
  </si>
  <si>
    <t>Benefits &amp; Taxes</t>
  </si>
  <si>
    <t>Mortgages/Distressed Properties</t>
  </si>
  <si>
    <t xml:space="preserve">     Mortgages/Distressed Properties</t>
  </si>
  <si>
    <t xml:space="preserve">     Developer Loan Fund - Old Mills</t>
  </si>
  <si>
    <t># MYHOME LOANS CLOSED</t>
  </si>
  <si>
    <t># BUSINESS LOANS CLOSED</t>
  </si>
  <si>
    <t xml:space="preserve">     ST Hazard Mitigation</t>
  </si>
  <si>
    <t># MYHOME LOANS CLOSED TO DATE</t>
  </si>
  <si>
    <t>BUDGETED # MH LOANS</t>
  </si>
  <si>
    <t>EXPECTED REMAINING LOANS</t>
  </si>
  <si>
    <t>Unallocated Admin</t>
  </si>
  <si>
    <t>MyHome Admin Allocation %</t>
  </si>
  <si>
    <t>634 FORECAST</t>
  </si>
  <si>
    <t xml:space="preserve">     Interest, Savings</t>
  </si>
  <si>
    <t>remaining exp's&gt;&gt;&gt;</t>
  </si>
  <si>
    <t xml:space="preserve">     Recovered Funds (MHMC, LC)</t>
  </si>
  <si>
    <t xml:space="preserve">FHLB - CD </t>
  </si>
  <si>
    <t>FHLB - Membership Stock</t>
  </si>
  <si>
    <t>The First - Mortgages</t>
  </si>
  <si>
    <t>HB Reserves:</t>
  </si>
  <si>
    <t xml:space="preserve">HB Operating Cash Balance </t>
  </si>
  <si>
    <t>HB Donations</t>
  </si>
  <si>
    <t>HB Escrows</t>
  </si>
  <si>
    <t># COMMERCIAL LOANS CLOSED</t>
  </si>
  <si>
    <t># DREAM LOANS/GRANTS</t>
  </si>
  <si>
    <t>Commercial Business Loans</t>
  </si>
  <si>
    <t>Business Loans</t>
  </si>
  <si>
    <t>AVG DREAM Ln</t>
  </si>
  <si>
    <t>Avg Dream Grant</t>
  </si>
  <si>
    <t>Dream Loans/Grants ($125K/$3.5K Avg)</t>
  </si>
  <si>
    <t>Small Business Dev Fund</t>
  </si>
  <si>
    <t>Dream Fund</t>
  </si>
  <si>
    <t xml:space="preserve">     SBDF</t>
  </si>
  <si>
    <t xml:space="preserve">     Cash-MyHome/Dream/Comm Loans</t>
  </si>
  <si>
    <t>Property Sales</t>
  </si>
  <si>
    <t>October 2012 Cash Flow Projection</t>
  </si>
  <si>
    <t xml:space="preserve">   Mortages/Distressed Properties</t>
  </si>
  <si>
    <t xml:space="preserve">     Business Loans</t>
  </si>
  <si>
    <t>COMMERCIAL LOANS FORECASTED</t>
  </si>
  <si>
    <t xml:space="preserve">   The First Mortgages Net of DP</t>
  </si>
  <si>
    <t>Escrow Payments</t>
  </si>
  <si>
    <t xml:space="preserve">     FA Award</t>
  </si>
  <si>
    <t xml:space="preserve">     Cash-MyHome/Dream/LBSD</t>
  </si>
  <si>
    <t>SBDF LOANS FORECASTED</t>
  </si>
  <si>
    <t>GLF LOANS FORECASTED</t>
  </si>
  <si>
    <t># COMMERCIAL LOANS</t>
  </si>
  <si>
    <t># SBDF LOANS</t>
  </si>
  <si>
    <t># GLF LOANS</t>
  </si>
  <si>
    <t># GREEN LOANS CLOSED</t>
  </si>
  <si>
    <t>SBA Microloans</t>
  </si>
  <si>
    <t>SBA MICROLOANS FORECASTED</t>
  </si>
  <si>
    <t># SBA LOANS</t>
  </si>
  <si>
    <t>s\acctg\fs\year\CF Period</t>
  </si>
  <si>
    <t>CDFI Awards</t>
  </si>
  <si>
    <t>OFN Grant</t>
  </si>
  <si>
    <t xml:space="preserve">     OFN Grant</t>
  </si>
  <si>
    <t xml:space="preserve">     Other</t>
  </si>
  <si>
    <t>Green Loan Fund</t>
  </si>
  <si>
    <t xml:space="preserve">     FA Match</t>
  </si>
  <si>
    <t>.</t>
  </si>
  <si>
    <t>July 2013 Cash Flow Projection</t>
  </si>
  <si>
    <t>FA Award - Available Cash</t>
  </si>
  <si>
    <t>Program Revenue - MDA</t>
  </si>
  <si>
    <t>Grants/Contributions</t>
  </si>
  <si>
    <t>Travel Expenses</t>
  </si>
  <si>
    <t>INVESTMENTS DURING MONTH</t>
  </si>
  <si>
    <t>Total Investments during Month</t>
  </si>
  <si>
    <t>Total Cash Used</t>
  </si>
  <si>
    <t>Property Management Expenses</t>
  </si>
  <si>
    <t>NHP Flood Program</t>
  </si>
  <si>
    <t>July</t>
  </si>
  <si>
    <t>August</t>
  </si>
  <si>
    <t>September</t>
  </si>
  <si>
    <t>January</t>
  </si>
  <si>
    <t>February</t>
  </si>
  <si>
    <t>March</t>
  </si>
  <si>
    <t>April</t>
  </si>
  <si>
    <t>In House Mortgages</t>
  </si>
  <si>
    <t>May</t>
  </si>
  <si>
    <t>Grants to Other Programs</t>
  </si>
  <si>
    <t>Loan Proceeds</t>
  </si>
  <si>
    <t>Total Cash Inflow</t>
  </si>
  <si>
    <t>Total Cash Outflow</t>
  </si>
  <si>
    <t>Unallocated Cash Balance</t>
  </si>
  <si>
    <t>Matching Cash for FA Awards</t>
  </si>
  <si>
    <t>Program Expenses/Grants</t>
  </si>
  <si>
    <t xml:space="preserve">Funding Escrows </t>
  </si>
  <si>
    <t>Other Income/Payments</t>
  </si>
  <si>
    <t>Loan Sales</t>
  </si>
  <si>
    <t>Total Beginning Cash</t>
  </si>
  <si>
    <t>Increase to CD at FHLB</t>
  </si>
  <si>
    <t>Loan Payments to Debt Holders</t>
  </si>
  <si>
    <t>Business Loan Payments/Fees</t>
  </si>
  <si>
    <t>Mortgage P&amp;I Payments/Fees</t>
  </si>
  <si>
    <t>NMTC Fees/Income/Escrow</t>
  </si>
  <si>
    <t>Other Expenses/Payments</t>
  </si>
  <si>
    <t>Escrows/SBA Cash Reserves</t>
  </si>
  <si>
    <t>NW Project Reinvest Cash</t>
  </si>
  <si>
    <t>NW Project Reinvest Loans</t>
  </si>
  <si>
    <t>Business Loans/Draws</t>
  </si>
  <si>
    <t>BP Settlement Proceeds</t>
  </si>
  <si>
    <t>Investment Account</t>
  </si>
  <si>
    <t>Ready Loan Fund/Home Improvement</t>
  </si>
  <si>
    <t>Investment Management Account Deposit</t>
  </si>
  <si>
    <t>Investment Management Account Earnings</t>
  </si>
  <si>
    <t>Investment Gain/(Loss)</t>
  </si>
  <si>
    <t>CD Collateralized Accounts</t>
  </si>
  <si>
    <t>Cash component of building financing</t>
  </si>
  <si>
    <t>Foreclosed Asset Sales</t>
  </si>
  <si>
    <t>September 2019 Cash Flow Projection</t>
  </si>
  <si>
    <t>Escrow Payments for Mortgages</t>
  </si>
  <si>
    <t>Escrow Payouts for Mortgages</t>
  </si>
  <si>
    <t>xx Loan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</si>
</sst>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&quot;$&quot;#,##0"/>
    <numFmt numFmtId="166" formatCode="_(* #,##0_);_(* \(#,##0\);_(* &quot;-&quot;??_);_(@_)"/>
    <numFmt numFmtId="167" formatCode="_(&quot;$&quot;* #,##0.00_);_(&quot;$&quot;* \(#,##0.00\);_(&quot;$&quot;* &quot;-&quot;_);_(@_)"/>
  </numFmts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81"/>
      <name val="Tahoma"/>
      <family val="2"/>
    </font>
    <font>
      <sz val="12"/>
      <color indexed="81"/>
      <name val="Tahoma"/>
      <family val="2"/>
    </font>
    <font>
      <sz val="10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97">
    <xf numFmtId="0" fontId="0" fillId="0" borderId="0" xfId="0"/>
    <xf numFmtId="42" fontId="0" fillId="0" borderId="0" xfId="0" applyNumberFormat="1"/>
    <xf numFmtId="165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42" fontId="0" fillId="0" borderId="1" xfId="0" applyNumberFormat="1" applyBorder="1"/>
    <xf numFmtId="0" fontId="9" fillId="0" borderId="0" xfId="0" applyFont="1"/>
    <xf numFmtId="6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6" fontId="2" fillId="0" borderId="0" xfId="0" applyNumberFormat="1" applyFont="1"/>
    <xf numFmtId="6" fontId="1" fillId="0" borderId="0" xfId="0" applyNumberFormat="1" applyFont="1"/>
    <xf numFmtId="165" fontId="1" fillId="0" borderId="0" xfId="0" applyNumberFormat="1" applyFont="1"/>
    <xf numFmtId="165" fontId="1" fillId="0" borderId="0" xfId="0" applyNumberFormat="1" applyFont="1" applyAlignment="1">
      <alignment wrapText="1"/>
    </xf>
    <xf numFmtId="6" fontId="2" fillId="0" borderId="1" xfId="0" applyNumberFormat="1" applyFont="1" applyBorder="1"/>
    <xf numFmtId="165" fontId="2" fillId="0" borderId="1" xfId="0" applyNumberFormat="1" applyFont="1" applyBorder="1"/>
    <xf numFmtId="165" fontId="2" fillId="0" borderId="0" xfId="0" applyNumberFormat="1" applyFont="1"/>
    <xf numFmtId="0" fontId="0" fillId="0" borderId="0" xfId="0" applyAlignment="1"/>
    <xf numFmtId="44" fontId="0" fillId="0" borderId="0" xfId="0" applyNumberFormat="1"/>
    <xf numFmtId="41" fontId="0" fillId="0" borderId="0" xfId="0" applyNumberFormat="1"/>
    <xf numFmtId="41" fontId="0" fillId="0" borderId="1" xfId="0" applyNumberFormat="1" applyBorder="1"/>
    <xf numFmtId="42" fontId="0" fillId="0" borderId="0" xfId="0" applyNumberFormat="1" applyBorder="1"/>
    <xf numFmtId="0" fontId="0" fillId="0" borderId="0" xfId="0" applyBorder="1"/>
    <xf numFmtId="0" fontId="0" fillId="0" borderId="1" xfId="0" applyBorder="1"/>
    <xf numFmtId="42" fontId="0" fillId="0" borderId="2" xfId="0" applyNumberFormat="1" applyBorder="1"/>
    <xf numFmtId="41" fontId="0" fillId="0" borderId="0" xfId="0" applyNumberFormat="1" applyBorder="1"/>
    <xf numFmtId="0" fontId="0" fillId="2" borderId="0" xfId="0" applyFill="1"/>
    <xf numFmtId="42" fontId="0" fillId="2" borderId="0" xfId="0" applyNumberFormat="1" applyFill="1"/>
    <xf numFmtId="41" fontId="0" fillId="2" borderId="0" xfId="0" applyNumberFormat="1" applyFill="1"/>
    <xf numFmtId="42" fontId="0" fillId="2" borderId="2" xfId="0" applyNumberFormat="1" applyFill="1" applyBorder="1"/>
    <xf numFmtId="41" fontId="0" fillId="2" borderId="2" xfId="0" applyNumberFormat="1" applyFill="1" applyBorder="1"/>
    <xf numFmtId="44" fontId="0" fillId="0" borderId="1" xfId="0" applyNumberFormat="1" applyBorder="1"/>
    <xf numFmtId="44" fontId="0" fillId="0" borderId="0" xfId="0" applyNumberFormat="1" applyBorder="1"/>
    <xf numFmtId="165" fontId="1" fillId="0" borderId="0" xfId="0" applyNumberFormat="1" applyFont="1" applyAlignment="1"/>
    <xf numFmtId="165" fontId="2" fillId="0" borderId="1" xfId="0" applyNumberFormat="1" applyFont="1" applyBorder="1" applyAlignment="1">
      <alignment horizontal="center"/>
    </xf>
    <xf numFmtId="0" fontId="0" fillId="0" borderId="0" xfId="0" applyNumberFormat="1"/>
    <xf numFmtId="166" fontId="8" fillId="0" borderId="1" xfId="1" applyNumberFormat="1" applyFont="1" applyBorder="1"/>
    <xf numFmtId="42" fontId="0" fillId="3" borderId="0" xfId="0" applyNumberFormat="1" applyFill="1"/>
    <xf numFmtId="166" fontId="8" fillId="0" borderId="0" xfId="1" applyNumberFormat="1" applyFont="1"/>
    <xf numFmtId="42" fontId="0" fillId="0" borderId="3" xfId="0" applyNumberFormat="1" applyBorder="1"/>
    <xf numFmtId="42" fontId="0" fillId="3" borderId="1" xfId="0" applyNumberFormat="1" applyFill="1" applyBorder="1"/>
    <xf numFmtId="42" fontId="0" fillId="0" borderId="0" xfId="0" applyNumberFormat="1" applyFill="1"/>
    <xf numFmtId="41" fontId="0" fillId="0" borderId="3" xfId="0" applyNumberFormat="1" applyBorder="1"/>
    <xf numFmtId="0" fontId="0" fillId="3" borderId="0" xfId="0" applyFill="1"/>
    <xf numFmtId="42" fontId="0" fillId="0" borderId="1" xfId="0" applyNumberFormat="1" applyFill="1" applyBorder="1"/>
    <xf numFmtId="0" fontId="0" fillId="0" borderId="0" xfId="0" applyAlignment="1">
      <alignment horizontal="right"/>
    </xf>
    <xf numFmtId="9" fontId="0" fillId="0" borderId="0" xfId="0" applyNumberFormat="1"/>
    <xf numFmtId="9" fontId="0" fillId="0" borderId="0" xfId="0" applyNumberFormat="1" applyAlignment="1">
      <alignment wrapText="1"/>
    </xf>
    <xf numFmtId="166" fontId="8" fillId="0" borderId="0" xfId="1" applyNumberFormat="1" applyFont="1"/>
    <xf numFmtId="166" fontId="0" fillId="0" borderId="0" xfId="0" applyNumberFormat="1" applyAlignment="1">
      <alignment wrapText="1"/>
    </xf>
    <xf numFmtId="42" fontId="0" fillId="3" borderId="0" xfId="0" applyNumberFormat="1" applyFill="1" applyBorder="1"/>
    <xf numFmtId="42" fontId="0" fillId="0" borderId="4" xfId="0" applyNumberFormat="1" applyBorder="1"/>
    <xf numFmtId="166" fontId="8" fillId="0" borderId="0" xfId="1" applyNumberFormat="1" applyFont="1"/>
    <xf numFmtId="42" fontId="0" fillId="0" borderId="5" xfId="0" applyNumberFormat="1" applyBorder="1"/>
    <xf numFmtId="43" fontId="8" fillId="0" borderId="0" xfId="1" applyFont="1"/>
    <xf numFmtId="9" fontId="0" fillId="0" borderId="0" xfId="0" applyNumberFormat="1" applyAlignment="1">
      <alignment horizontal="center"/>
    </xf>
    <xf numFmtId="165" fontId="2" fillId="0" borderId="1" xfId="0" applyNumberFormat="1" applyFont="1" applyBorder="1" applyAlignment="1">
      <alignment horizontal="left" wrapText="1"/>
    </xf>
    <xf numFmtId="164" fontId="2" fillId="0" borderId="0" xfId="0" applyNumberFormat="1" applyFont="1" applyBorder="1"/>
    <xf numFmtId="42" fontId="0" fillId="0" borderId="0" xfId="0" applyNumberFormat="1" applyFill="1" applyBorder="1"/>
    <xf numFmtId="22" fontId="0" fillId="0" borderId="0" xfId="0" applyNumberFormat="1" applyAlignment="1">
      <alignment wrapText="1"/>
    </xf>
    <xf numFmtId="43" fontId="0" fillId="0" borderId="0" xfId="0" applyNumberFormat="1"/>
    <xf numFmtId="38" fontId="0" fillId="0" borderId="0" xfId="0" applyNumberFormat="1"/>
    <xf numFmtId="0" fontId="0" fillId="0" borderId="0" xfId="0" applyBorder="1" applyAlignment="1">
      <alignment wrapText="1"/>
    </xf>
    <xf numFmtId="0" fontId="9" fillId="0" borderId="0" xfId="0" applyFont="1" applyAlignment="1">
      <alignment horizontal="left"/>
    </xf>
    <xf numFmtId="42" fontId="0" fillId="0" borderId="0" xfId="0" applyNumberFormat="1" applyAlignment="1">
      <alignment wrapText="1"/>
    </xf>
    <xf numFmtId="167" fontId="0" fillId="0" borderId="0" xfId="0" applyNumberFormat="1"/>
    <xf numFmtId="164" fontId="2" fillId="4" borderId="1" xfId="0" applyNumberFormat="1" applyFont="1" applyFill="1" applyBorder="1"/>
    <xf numFmtId="164" fontId="2" fillId="0" borderId="1" xfId="0" applyNumberFormat="1" applyFont="1" applyFill="1" applyBorder="1"/>
    <xf numFmtId="166" fontId="8" fillId="0" borderId="0" xfId="1" applyNumberFormat="1" applyFont="1"/>
    <xf numFmtId="42" fontId="0" fillId="0" borderId="0" xfId="0" applyNumberFormat="1" applyAlignment="1">
      <alignment horizontal="right" wrapText="1"/>
    </xf>
    <xf numFmtId="9" fontId="0" fillId="0" borderId="0" xfId="0" applyNumberFormat="1" applyBorder="1"/>
    <xf numFmtId="6" fontId="0" fillId="0" borderId="0" xfId="0" applyNumberFormat="1" applyFill="1"/>
    <xf numFmtId="6" fontId="0" fillId="0" borderId="0" xfId="0" applyNumberFormat="1" applyFill="1" applyBorder="1"/>
    <xf numFmtId="0" fontId="9" fillId="0" borderId="0" xfId="0" applyFont="1"/>
    <xf numFmtId="42" fontId="0" fillId="0" borderId="0" xfId="0" applyNumberFormat="1" applyFill="1"/>
    <xf numFmtId="42" fontId="0" fillId="0" borderId="0" xfId="0" applyNumberFormat="1" applyFill="1" applyBorder="1"/>
    <xf numFmtId="43" fontId="0" fillId="0" borderId="0" xfId="1" applyFont="1"/>
    <xf numFmtId="166" fontId="0" fillId="0" borderId="0" xfId="1" applyNumberFormat="1" applyFont="1"/>
    <xf numFmtId="6" fontId="2" fillId="0" borderId="0" xfId="0" applyNumberFormat="1" applyFont="1" applyBorder="1" applyAlignment="1">
      <alignment horizontal="center"/>
    </xf>
    <xf numFmtId="42" fontId="0" fillId="0" borderId="3" xfId="0" applyNumberFormat="1" applyFill="1" applyBorder="1"/>
    <xf numFmtId="42" fontId="0" fillId="5" borderId="0" xfId="0" applyNumberFormat="1" applyFill="1"/>
    <xf numFmtId="42" fontId="0" fillId="5" borderId="0" xfId="0" applyNumberFormat="1" applyFill="1" applyBorder="1"/>
    <xf numFmtId="42" fontId="0" fillId="6" borderId="0" xfId="0" applyNumberFormat="1" applyFill="1"/>
    <xf numFmtId="42" fontId="0" fillId="6" borderId="0" xfId="0" applyNumberFormat="1" applyFill="1" applyBorder="1"/>
    <xf numFmtId="0" fontId="0" fillId="0" borderId="0" xfId="0" applyFill="1"/>
    <xf numFmtId="9" fontId="0" fillId="0" borderId="0" xfId="0" applyNumberFormat="1" applyFill="1" applyBorder="1"/>
    <xf numFmtId="42" fontId="0" fillId="0" borderId="4" xfId="0" applyNumberFormat="1" applyFill="1" applyBorder="1"/>
    <xf numFmtId="38" fontId="0" fillId="0" borderId="0" xfId="0" applyNumberFormat="1" applyFill="1"/>
    <xf numFmtId="42" fontId="0" fillId="0" borderId="5" xfId="0" applyNumberFormat="1" applyFill="1" applyBorder="1"/>
    <xf numFmtId="0" fontId="9" fillId="0" borderId="0" xfId="0" applyFont="1" applyFill="1"/>
    <xf numFmtId="0" fontId="9" fillId="0" borderId="0" xfId="0" applyFont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ill="1" applyAlignment="1">
      <alignment horizontal="centerContinuous"/>
    </xf>
    <xf numFmtId="0" fontId="9" fillId="3" borderId="0" xfId="0" applyFont="1" applyFill="1"/>
    <xf numFmtId="0" fontId="9" fillId="0" borderId="0" xfId="0" applyFont="1" applyAlignment="1">
      <alignment horizontal="left" indent="1"/>
    </xf>
    <xf numFmtId="164" fontId="2" fillId="0" borderId="0" xfId="0" applyNumberFormat="1" applyFont="1" applyFill="1" applyBorder="1" applyAlignment="1">
      <alignment horizontal="center"/>
    </xf>
    <xf numFmtId="43" fontId="0" fillId="0" borderId="0" xfId="1" applyFont="1" applyFill="1"/>
    <xf numFmtId="0" fontId="9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G146"/>
  <sheetViews>
    <sheetView view="pageBreakPreview" zoomScaleNormal="100" zoomScaleSheetLayoutView="100" workbookViewId="0">
      <pane xSplit="6" ySplit="17" topLeftCell="G32" activePane="bottomRight" state="frozen"/>
      <selection pane="topRight" activeCell="G1" sqref="G1"/>
      <selection pane="bottomLeft" activeCell="A19" sqref="A19"/>
      <selection pane="bottomRight" activeCell="AS65" sqref="AS65"/>
    </sheetView>
  </sheetViews>
  <sheetFormatPr defaultRowHeight="15" x14ac:dyDescent="0.25"/>
  <cols>
    <col min="1" max="1" width="36.85546875" customWidth="1"/>
    <col min="2" max="2" width="2.85546875" style="20" customWidth="1"/>
    <col min="3" max="5" width="10" hidden="1" customWidth="1"/>
    <col min="6" max="6" width="10.7109375" hidden="1" customWidth="1"/>
    <col min="7" max="7" width="13.28515625" hidden="1" customWidth="1"/>
    <col min="8" max="11" width="13.7109375" hidden="1" customWidth="1"/>
    <col min="12" max="12" width="15.140625" hidden="1" customWidth="1"/>
    <col min="13" max="13" width="15.5703125" hidden="1" customWidth="1"/>
    <col min="14" max="30" width="15.85546875" hidden="1" customWidth="1"/>
    <col min="31" max="42" width="17.7109375" hidden="1" customWidth="1"/>
    <col min="43" max="43" width="17.7109375" style="82" hidden="1" customWidth="1"/>
    <col min="44" max="47" width="17.7109375" style="82" customWidth="1"/>
    <col min="48" max="50" width="17.85546875" style="82" customWidth="1"/>
    <col min="51" max="51" width="15.28515625" customWidth="1"/>
    <col min="52" max="52" width="9.42578125" bestFit="1" customWidth="1"/>
    <col min="53" max="53" width="13.42578125" bestFit="1" customWidth="1"/>
    <col min="54" max="54" width="11" customWidth="1"/>
  </cols>
  <sheetData>
    <row r="1" spans="1:51" x14ac:dyDescent="0.25">
      <c r="A1" s="88" t="s">
        <v>0</v>
      </c>
      <c r="B1" s="89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1"/>
      <c r="AR1" s="91"/>
      <c r="AS1" s="91"/>
      <c r="AT1" s="91"/>
      <c r="AU1" s="91"/>
      <c r="AV1" s="91"/>
      <c r="AW1" s="91"/>
      <c r="AX1" s="91"/>
    </row>
    <row r="2" spans="1:51" x14ac:dyDescent="0.25">
      <c r="A2" s="88" t="s">
        <v>235</v>
      </c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1"/>
      <c r="AR2" s="91"/>
      <c r="AS2" s="91"/>
      <c r="AT2" s="91"/>
      <c r="AU2" s="91"/>
      <c r="AV2" s="91"/>
      <c r="AW2" s="91"/>
      <c r="AX2" s="91"/>
    </row>
    <row r="3" spans="1:51" x14ac:dyDescent="0.25">
      <c r="A3" s="88" t="s">
        <v>234</v>
      </c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1"/>
      <c r="AR3" s="91"/>
      <c r="AS3" s="91"/>
      <c r="AT3" s="91"/>
      <c r="AU3" s="91"/>
      <c r="AV3" s="91"/>
      <c r="AW3" s="91"/>
      <c r="AX3" s="91"/>
    </row>
    <row r="4" spans="1:51" ht="15.75" x14ac:dyDescent="0.25">
      <c r="A4" s="71" t="s">
        <v>1</v>
      </c>
      <c r="B4" s="76"/>
      <c r="C4" s="7">
        <v>40179</v>
      </c>
      <c r="D4" s="7">
        <f>C4+31</f>
        <v>40210</v>
      </c>
      <c r="E4" s="7">
        <f t="shared" ref="E4:AJ4" si="0">D4+31</f>
        <v>40241</v>
      </c>
      <c r="F4" s="7">
        <f t="shared" si="0"/>
        <v>40272</v>
      </c>
      <c r="G4" s="7">
        <f>F4+31</f>
        <v>40303</v>
      </c>
      <c r="H4" s="7">
        <f t="shared" si="0"/>
        <v>40334</v>
      </c>
      <c r="I4" s="7">
        <f t="shared" si="0"/>
        <v>40365</v>
      </c>
      <c r="J4" s="7">
        <f t="shared" si="0"/>
        <v>40396</v>
      </c>
      <c r="K4" s="7">
        <f t="shared" si="0"/>
        <v>40427</v>
      </c>
      <c r="L4" s="7">
        <f t="shared" si="0"/>
        <v>40458</v>
      </c>
      <c r="M4" s="7">
        <f t="shared" si="0"/>
        <v>40489</v>
      </c>
      <c r="N4" s="7">
        <f t="shared" si="0"/>
        <v>40520</v>
      </c>
      <c r="O4" s="7">
        <f t="shared" si="0"/>
        <v>40551</v>
      </c>
      <c r="P4" s="7">
        <f t="shared" si="0"/>
        <v>40582</v>
      </c>
      <c r="Q4" s="65">
        <f t="shared" si="0"/>
        <v>40613</v>
      </c>
      <c r="R4" s="65">
        <f t="shared" si="0"/>
        <v>40644</v>
      </c>
      <c r="S4" s="65">
        <f t="shared" si="0"/>
        <v>40675</v>
      </c>
      <c r="T4" s="65">
        <f t="shared" si="0"/>
        <v>40706</v>
      </c>
      <c r="U4" s="64">
        <f t="shared" si="0"/>
        <v>40737</v>
      </c>
      <c r="V4" s="64">
        <f t="shared" si="0"/>
        <v>40768</v>
      </c>
      <c r="W4" s="64">
        <f t="shared" si="0"/>
        <v>40799</v>
      </c>
      <c r="X4" s="64">
        <f t="shared" si="0"/>
        <v>40830</v>
      </c>
      <c r="Y4" s="64">
        <f t="shared" si="0"/>
        <v>40861</v>
      </c>
      <c r="Z4" s="64">
        <f t="shared" si="0"/>
        <v>40892</v>
      </c>
      <c r="AA4" s="64">
        <f t="shared" si="0"/>
        <v>40923</v>
      </c>
      <c r="AB4" s="64">
        <f t="shared" si="0"/>
        <v>40954</v>
      </c>
      <c r="AC4" s="64">
        <f t="shared" si="0"/>
        <v>40985</v>
      </c>
      <c r="AD4" s="64">
        <f t="shared" si="0"/>
        <v>41016</v>
      </c>
      <c r="AE4" s="64">
        <f t="shared" si="0"/>
        <v>41047</v>
      </c>
      <c r="AF4" s="64">
        <f t="shared" si="0"/>
        <v>41078</v>
      </c>
      <c r="AG4" s="64">
        <f t="shared" si="0"/>
        <v>41109</v>
      </c>
      <c r="AH4" s="64">
        <f t="shared" si="0"/>
        <v>41140</v>
      </c>
      <c r="AI4" s="64">
        <f t="shared" si="0"/>
        <v>41171</v>
      </c>
      <c r="AJ4" s="64">
        <f t="shared" si="0"/>
        <v>41202</v>
      </c>
      <c r="AK4" s="64">
        <f t="shared" ref="AK4:AX4" si="1">AJ4+31</f>
        <v>41233</v>
      </c>
      <c r="AL4" s="65">
        <f t="shared" si="1"/>
        <v>41264</v>
      </c>
      <c r="AM4" s="65">
        <f t="shared" si="1"/>
        <v>41295</v>
      </c>
      <c r="AN4" s="65">
        <f t="shared" si="1"/>
        <v>41326</v>
      </c>
      <c r="AO4" s="65">
        <f t="shared" si="1"/>
        <v>41357</v>
      </c>
      <c r="AP4" s="65">
        <f t="shared" si="1"/>
        <v>41388</v>
      </c>
      <c r="AQ4" s="65">
        <f t="shared" si="1"/>
        <v>41419</v>
      </c>
      <c r="AR4" s="65">
        <f t="shared" si="1"/>
        <v>41450</v>
      </c>
      <c r="AS4" s="65">
        <f t="shared" si="1"/>
        <v>41481</v>
      </c>
      <c r="AT4" s="65">
        <f t="shared" si="1"/>
        <v>41512</v>
      </c>
      <c r="AU4" s="65">
        <f t="shared" si="1"/>
        <v>41543</v>
      </c>
      <c r="AV4" s="65">
        <f t="shared" si="1"/>
        <v>41574</v>
      </c>
      <c r="AW4" s="65">
        <f t="shared" si="1"/>
        <v>41605</v>
      </c>
      <c r="AX4" s="65">
        <f t="shared" si="1"/>
        <v>41636</v>
      </c>
      <c r="AY4" s="65"/>
    </row>
    <row r="5" spans="1:51" ht="15.75" hidden="1" customHeight="1" x14ac:dyDescent="0.25">
      <c r="A5" s="71" t="s">
        <v>1</v>
      </c>
      <c r="AY5" s="82"/>
    </row>
    <row r="6" spans="1:51" ht="15.75" hidden="1" customHeight="1" x14ac:dyDescent="0.25">
      <c r="A6" s="71" t="s">
        <v>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 s="82">
        <v>0</v>
      </c>
      <c r="AR6" s="82">
        <v>0</v>
      </c>
      <c r="AY6" s="82"/>
    </row>
    <row r="7" spans="1:51" ht="15.75" hidden="1" customHeight="1" x14ac:dyDescent="0.25">
      <c r="A7" s="71" t="s">
        <v>5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 s="82">
        <v>0</v>
      </c>
      <c r="AR7" s="82">
        <v>0</v>
      </c>
      <c r="AY7" s="82"/>
    </row>
    <row r="8" spans="1:51" ht="15.75" hidden="1" customHeight="1" x14ac:dyDescent="0.25">
      <c r="A8" s="71" t="s">
        <v>6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 s="82">
        <v>0</v>
      </c>
      <c r="AR8" s="82">
        <v>0</v>
      </c>
      <c r="AY8" s="82"/>
    </row>
    <row r="9" spans="1:51" ht="15.75" hidden="1" customHeight="1" x14ac:dyDescent="0.25">
      <c r="A9" s="71" t="s">
        <v>7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 s="82">
        <v>0</v>
      </c>
      <c r="AR9" s="82">
        <v>0</v>
      </c>
      <c r="AY9" s="82"/>
    </row>
    <row r="10" spans="1:51" ht="15.75" hidden="1" customHeight="1" x14ac:dyDescent="0.25">
      <c r="A10" s="71" t="s">
        <v>8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 s="82">
        <v>0</v>
      </c>
      <c r="AR10" s="82">
        <v>0</v>
      </c>
      <c r="AY10" s="82"/>
    </row>
    <row r="11" spans="1:51" ht="15.75" hidden="1" customHeight="1" x14ac:dyDescent="0.25">
      <c r="A11" s="71" t="s">
        <v>9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 s="82">
        <v>0</v>
      </c>
      <c r="AR11" s="82">
        <v>0</v>
      </c>
      <c r="AY11" s="82"/>
    </row>
    <row r="12" spans="1:51" ht="15.75" hidden="1" customHeight="1" x14ac:dyDescent="0.25">
      <c r="A12" s="71" t="s">
        <v>10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 s="82">
        <v>0</v>
      </c>
      <c r="AR12" s="82">
        <v>0</v>
      </c>
      <c r="AY12" s="82"/>
    </row>
    <row r="13" spans="1:51" ht="15.75" hidden="1" customHeight="1" x14ac:dyDescent="0.25">
      <c r="A13" s="71" t="s">
        <v>11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 s="82">
        <v>0</v>
      </c>
      <c r="AR13" s="82">
        <v>0</v>
      </c>
      <c r="AY13" s="82"/>
    </row>
    <row r="14" spans="1:51" ht="15.75" hidden="1" customHeight="1" x14ac:dyDescent="0.25">
      <c r="A14" s="71" t="s">
        <v>12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 s="82">
        <v>0</v>
      </c>
      <c r="AR14" s="82">
        <v>0</v>
      </c>
      <c r="AY14" s="82"/>
    </row>
    <row r="15" spans="1:51" ht="15.75" hidden="1" customHeight="1" x14ac:dyDescent="0.25">
      <c r="A15" s="71" t="s">
        <v>13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 s="82">
        <v>0</v>
      </c>
      <c r="AR15" s="82">
        <v>0</v>
      </c>
      <c r="AY15" s="82"/>
    </row>
    <row r="16" spans="1:51" ht="15.75" hidden="1" customHeight="1" x14ac:dyDescent="0.25">
      <c r="A16" s="71" t="s">
        <v>14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 s="82">
        <v>0</v>
      </c>
      <c r="AR16" s="82">
        <v>0</v>
      </c>
      <c r="AY16" s="82"/>
    </row>
    <row r="17" spans="1:51" ht="20.25" hidden="1" customHeight="1" x14ac:dyDescent="0.25">
      <c r="A17" s="71"/>
      <c r="AY17" s="82"/>
    </row>
    <row r="18" spans="1:51" ht="15.75" customHeight="1" x14ac:dyDescent="0.25">
      <c r="A18" s="71" t="s">
        <v>195</v>
      </c>
      <c r="B18" s="19"/>
      <c r="C18" s="72"/>
      <c r="D18" s="1"/>
      <c r="E18" s="1"/>
      <c r="F18" s="1"/>
      <c r="G18" s="1">
        <v>100010</v>
      </c>
      <c r="H18" s="1">
        <v>248685</v>
      </c>
      <c r="I18" s="1">
        <v>469357</v>
      </c>
      <c r="J18" s="1">
        <v>193945.87</v>
      </c>
      <c r="K18" s="1">
        <v>245242</v>
      </c>
      <c r="L18" s="1">
        <f>247891.98</f>
        <v>247891.98</v>
      </c>
      <c r="M18" s="1">
        <v>272606</v>
      </c>
      <c r="N18" s="1">
        <v>210538.4</v>
      </c>
      <c r="O18" s="1">
        <f>75380.37</f>
        <v>75380.37</v>
      </c>
      <c r="P18" s="37">
        <f>226189.44</f>
        <v>226189.44</v>
      </c>
      <c r="Q18" s="37">
        <v>91646.3</v>
      </c>
      <c r="R18" s="37">
        <f>210699.43</f>
        <v>210699.43</v>
      </c>
      <c r="S18" s="37">
        <v>331991.95</v>
      </c>
      <c r="T18" s="37">
        <v>238280</v>
      </c>
      <c r="U18" s="37">
        <f>214681.68</f>
        <v>214681.68</v>
      </c>
      <c r="V18" s="37">
        <v>401658.96</v>
      </c>
      <c r="W18" s="37">
        <f>AVERAGE(S18:V18)</f>
        <v>296653.14749999996</v>
      </c>
      <c r="X18" s="37">
        <v>278274.33</v>
      </c>
      <c r="Y18" s="37">
        <f>251367.96+100</f>
        <v>251467.96</v>
      </c>
      <c r="Z18" s="37">
        <f>AVERAGE(W18:Y18)</f>
        <v>275465.14583333331</v>
      </c>
      <c r="AA18" s="37">
        <v>106571.69</v>
      </c>
      <c r="AB18" s="37">
        <v>208494.87</v>
      </c>
      <c r="AC18" s="37">
        <v>123717.08</v>
      </c>
      <c r="AD18" s="37">
        <v>19542.66</v>
      </c>
      <c r="AE18" s="37">
        <f>14357.84+100</f>
        <v>14457.84</v>
      </c>
      <c r="AF18" s="37">
        <f>53831.6</f>
        <v>53831.6</v>
      </c>
      <c r="AG18" s="77">
        <f>57327.24</f>
        <v>57327.24</v>
      </c>
      <c r="AH18" s="37">
        <f>31099.56</f>
        <v>31099.56</v>
      </c>
      <c r="AI18" s="77">
        <f>33821.81</f>
        <v>33821.81</v>
      </c>
      <c r="AJ18" s="77">
        <v>20724.650000000001</v>
      </c>
      <c r="AK18" s="37">
        <f>112631.31+100</f>
        <v>112731.31</v>
      </c>
      <c r="AL18" s="37">
        <f t="shared" ref="AL18:AX18" si="2">AVERAGE(AI18:AK18)</f>
        <v>55759.256666666661</v>
      </c>
      <c r="AM18" s="37">
        <v>80061.88</v>
      </c>
      <c r="AN18" s="37">
        <v>167514.51</v>
      </c>
      <c r="AO18" s="37">
        <v>137911.47</v>
      </c>
      <c r="AP18" s="37">
        <f t="shared" si="2"/>
        <v>128495.95333333332</v>
      </c>
      <c r="AQ18" s="77">
        <v>123031.99</v>
      </c>
      <c r="AR18" s="77">
        <v>32000</v>
      </c>
      <c r="AS18" s="77">
        <f t="shared" si="2"/>
        <v>94509.314444444448</v>
      </c>
      <c r="AT18" s="77">
        <f t="shared" si="2"/>
        <v>83180.434814814813</v>
      </c>
      <c r="AU18" s="77">
        <f t="shared" si="2"/>
        <v>69896.583086419749</v>
      </c>
      <c r="AV18" s="77">
        <f t="shared" si="2"/>
        <v>82528.77744855966</v>
      </c>
      <c r="AW18" s="77">
        <f t="shared" si="2"/>
        <v>78535.265116598064</v>
      </c>
      <c r="AX18" s="77">
        <f t="shared" si="2"/>
        <v>76986.875217192501</v>
      </c>
      <c r="AY18" s="77"/>
    </row>
    <row r="19" spans="1:51" ht="15.75" customHeight="1" x14ac:dyDescent="0.25">
      <c r="A19" s="71" t="s">
        <v>196</v>
      </c>
      <c r="B19" s="19"/>
      <c r="C19" s="72"/>
      <c r="D19" s="1"/>
      <c r="E19" s="1"/>
      <c r="F19" s="1"/>
      <c r="G19" s="1"/>
      <c r="H19" s="1"/>
      <c r="I19" s="1"/>
      <c r="J19" s="1"/>
      <c r="K19" s="1"/>
      <c r="L19" s="1"/>
      <c r="M19" s="1"/>
      <c r="N19" s="1">
        <v>0</v>
      </c>
      <c r="O19" s="1">
        <v>230</v>
      </c>
      <c r="P19" s="1">
        <f>1285.04</f>
        <v>1285.04</v>
      </c>
      <c r="Q19" s="1">
        <v>1325</v>
      </c>
      <c r="R19" s="1">
        <v>1315.15</v>
      </c>
      <c r="S19" s="1">
        <v>1305.2</v>
      </c>
      <c r="T19" s="1">
        <v>1305.21</v>
      </c>
      <c r="U19" s="1">
        <f t="shared" ref="U19:AJ19" si="3">T19</f>
        <v>1305.21</v>
      </c>
      <c r="V19" s="1">
        <v>1505.21</v>
      </c>
      <c r="W19" s="1">
        <f t="shared" si="3"/>
        <v>1505.21</v>
      </c>
      <c r="X19" s="1">
        <v>1505.21</v>
      </c>
      <c r="Y19" s="1">
        <v>1467.71</v>
      </c>
      <c r="Z19" s="1">
        <v>1468</v>
      </c>
      <c r="AA19" s="1">
        <f>250</f>
        <v>250</v>
      </c>
      <c r="AB19" s="1">
        <f>AA19</f>
        <v>250</v>
      </c>
      <c r="AC19" s="1">
        <f t="shared" si="3"/>
        <v>250</v>
      </c>
      <c r="AD19" s="1">
        <v>1572.71</v>
      </c>
      <c r="AE19" s="1">
        <f t="shared" si="3"/>
        <v>1572.71</v>
      </c>
      <c r="AF19" s="1">
        <f t="shared" si="3"/>
        <v>1572.71</v>
      </c>
      <c r="AG19" s="72">
        <f t="shared" si="3"/>
        <v>1572.71</v>
      </c>
      <c r="AH19" s="1">
        <f t="shared" si="3"/>
        <v>1572.71</v>
      </c>
      <c r="AI19" s="72">
        <f t="shared" si="3"/>
        <v>1572.71</v>
      </c>
      <c r="AJ19" s="72">
        <f t="shared" si="3"/>
        <v>1572.71</v>
      </c>
      <c r="AK19" s="1">
        <f t="shared" ref="AK19:AX19" si="4">AJ19</f>
        <v>1572.71</v>
      </c>
      <c r="AL19" s="1">
        <f t="shared" si="4"/>
        <v>1572.71</v>
      </c>
      <c r="AM19" s="1">
        <f t="shared" si="4"/>
        <v>1572.71</v>
      </c>
      <c r="AN19" s="1">
        <f t="shared" si="4"/>
        <v>1572.71</v>
      </c>
      <c r="AO19" s="1">
        <f t="shared" si="4"/>
        <v>1572.71</v>
      </c>
      <c r="AP19" s="1">
        <f t="shared" si="4"/>
        <v>1572.71</v>
      </c>
      <c r="AQ19" s="72">
        <f t="shared" si="4"/>
        <v>1572.71</v>
      </c>
      <c r="AR19" s="72">
        <f t="shared" si="4"/>
        <v>1572.71</v>
      </c>
      <c r="AS19" s="72">
        <f t="shared" si="4"/>
        <v>1572.71</v>
      </c>
      <c r="AT19" s="72">
        <f t="shared" si="4"/>
        <v>1572.71</v>
      </c>
      <c r="AU19" s="72">
        <f t="shared" si="4"/>
        <v>1572.71</v>
      </c>
      <c r="AV19" s="72">
        <f t="shared" si="4"/>
        <v>1572.71</v>
      </c>
      <c r="AW19" s="72">
        <f t="shared" si="4"/>
        <v>1572.71</v>
      </c>
      <c r="AX19" s="72">
        <f t="shared" si="4"/>
        <v>1572.71</v>
      </c>
      <c r="AY19" s="72"/>
    </row>
    <row r="20" spans="1:51" ht="15.75" customHeight="1" x14ac:dyDescent="0.25">
      <c r="A20" s="71" t="s">
        <v>197</v>
      </c>
      <c r="B20" s="19"/>
      <c r="C20" s="72"/>
      <c r="D20" s="1"/>
      <c r="E20" s="1"/>
      <c r="F20" s="1"/>
      <c r="G20" s="1"/>
      <c r="H20" s="1"/>
      <c r="I20" s="1"/>
      <c r="J20" s="1"/>
      <c r="K20" s="1"/>
      <c r="L20" s="1"/>
      <c r="M20" s="1"/>
      <c r="N20" s="1">
        <v>0</v>
      </c>
      <c r="O20" s="1"/>
      <c r="P20" s="1"/>
      <c r="Q20" s="1"/>
      <c r="R20" s="1">
        <v>2164.96</v>
      </c>
      <c r="S20" s="1">
        <v>2739.38</v>
      </c>
      <c r="T20" s="1">
        <f>4346.88</f>
        <v>4346.88</v>
      </c>
      <c r="U20" s="1">
        <f>5930.36</f>
        <v>5930.36</v>
      </c>
      <c r="V20" s="1">
        <v>8302.16</v>
      </c>
      <c r="W20" s="1">
        <f>V20+V59</f>
        <v>10673.96</v>
      </c>
      <c r="X20" s="1"/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728.23</v>
      </c>
      <c r="AE20" s="1">
        <f>937.64</f>
        <v>937.64</v>
      </c>
      <c r="AF20" s="1">
        <f>AE20+209</f>
        <v>1146.6399999999999</v>
      </c>
      <c r="AG20" s="72">
        <f t="shared" ref="AG20:AH20" si="5">AF20+209</f>
        <v>1355.6399999999999</v>
      </c>
      <c r="AH20" s="1">
        <f t="shared" si="5"/>
        <v>1564.6399999999999</v>
      </c>
      <c r="AI20" s="72">
        <f>1979.78</f>
        <v>1979.78</v>
      </c>
      <c r="AJ20" s="72">
        <f>AI20+311.66</f>
        <v>2291.44</v>
      </c>
      <c r="AK20" s="72">
        <f>2500.85</f>
        <v>2500.85</v>
      </c>
      <c r="AL20" s="72">
        <f>AK20+311.66-AK121</f>
        <v>431.39999999999964</v>
      </c>
      <c r="AM20" s="72">
        <v>983.29</v>
      </c>
      <c r="AN20" s="72">
        <v>1462.18</v>
      </c>
      <c r="AO20" s="72">
        <f t="shared" ref="AO20:AX20" si="6">AN20+623.31-AN121</f>
        <v>2085.4899999999998</v>
      </c>
      <c r="AP20" s="72">
        <f t="shared" si="6"/>
        <v>2708.7999999999997</v>
      </c>
      <c r="AQ20" s="72">
        <f t="shared" si="6"/>
        <v>3332.1099999999997</v>
      </c>
      <c r="AR20" s="72">
        <f t="shared" si="6"/>
        <v>3955.4199999999996</v>
      </c>
      <c r="AS20" s="72">
        <f t="shared" si="6"/>
        <v>4578.7299999999996</v>
      </c>
      <c r="AT20" s="72">
        <f t="shared" si="6"/>
        <v>5202.0399999999991</v>
      </c>
      <c r="AU20" s="72">
        <f t="shared" si="6"/>
        <v>5825.3499999999985</v>
      </c>
      <c r="AV20" s="72">
        <f t="shared" si="6"/>
        <v>6448.659999999998</v>
      </c>
      <c r="AW20" s="72">
        <f t="shared" si="6"/>
        <v>7071.9699999999975</v>
      </c>
      <c r="AX20" s="72">
        <f t="shared" si="6"/>
        <v>7695.279999999997</v>
      </c>
      <c r="AY20" s="72"/>
    </row>
    <row r="21" spans="1:51" ht="15.75" hidden="1" customHeight="1" x14ac:dyDescent="0.25">
      <c r="A21" s="71"/>
      <c r="B21" s="19"/>
      <c r="C21" s="72"/>
      <c r="D21" s="72"/>
      <c r="E21" s="72"/>
      <c r="F21" s="72"/>
      <c r="G21" s="72"/>
      <c r="H21" s="72"/>
      <c r="I21" s="72">
        <f>350+10040+5020+5020</f>
        <v>20430</v>
      </c>
      <c r="J21" s="72">
        <f>622</f>
        <v>622</v>
      </c>
      <c r="K21" s="72">
        <f>J53+J54</f>
        <v>672834</v>
      </c>
      <c r="L21" s="72">
        <f>672414.33+(622*3)+22296</f>
        <v>696576.33</v>
      </c>
      <c r="M21" s="72">
        <v>672528.55</v>
      </c>
      <c r="N21" s="72">
        <f>672639.1</f>
        <v>672639.1</v>
      </c>
      <c r="O21" s="72">
        <v>672753.36</v>
      </c>
      <c r="P21" s="72">
        <f>O21+O53+O54-O116</f>
        <v>673375.36</v>
      </c>
      <c r="Q21" s="72">
        <v>672970.87</v>
      </c>
      <c r="R21" s="72">
        <v>673085.18</v>
      </c>
      <c r="S21" s="72">
        <v>558505.92000000004</v>
      </c>
      <c r="T21" s="72"/>
      <c r="U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35"/>
      <c r="AH21" s="72"/>
      <c r="AI21" s="78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</row>
    <row r="22" spans="1:51" ht="15.75" customHeight="1" x14ac:dyDescent="0.25">
      <c r="A22" s="71" t="s">
        <v>191</v>
      </c>
      <c r="B22" s="19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W22" s="72"/>
      <c r="X22" s="72"/>
      <c r="Y22" s="72"/>
      <c r="Z22" s="72"/>
      <c r="AA22" s="72"/>
      <c r="AB22" s="72"/>
      <c r="AC22" s="72"/>
      <c r="AD22" s="72">
        <v>100000</v>
      </c>
      <c r="AE22" s="72">
        <f>AD22</f>
        <v>100000</v>
      </c>
      <c r="AF22" s="72">
        <f t="shared" ref="AF22:AJ23" si="7">AE22</f>
        <v>100000</v>
      </c>
      <c r="AG22" s="72">
        <f t="shared" si="7"/>
        <v>100000</v>
      </c>
      <c r="AH22" s="72">
        <f t="shared" si="7"/>
        <v>100000</v>
      </c>
      <c r="AI22" s="72">
        <f t="shared" si="7"/>
        <v>100000</v>
      </c>
      <c r="AJ22" s="72">
        <f t="shared" si="7"/>
        <v>100000</v>
      </c>
      <c r="AK22" s="72">
        <f>AJ22+43.25</f>
        <v>100043.25</v>
      </c>
      <c r="AL22" s="72">
        <f t="shared" ref="AL22:AX23" si="8">AK22</f>
        <v>100043.25</v>
      </c>
      <c r="AM22" s="72">
        <f>100000+74.26</f>
        <v>100074.26</v>
      </c>
      <c r="AN22" s="72">
        <f t="shared" si="8"/>
        <v>100074.26</v>
      </c>
      <c r="AO22" s="72">
        <f>AN22+24.95</f>
        <v>100099.20999999999</v>
      </c>
      <c r="AP22" s="72">
        <f t="shared" si="8"/>
        <v>100099.20999999999</v>
      </c>
      <c r="AQ22" s="72">
        <f t="shared" si="8"/>
        <v>100099.20999999999</v>
      </c>
      <c r="AR22" s="72">
        <f>AQ22+25</f>
        <v>100124.20999999999</v>
      </c>
      <c r="AS22" s="72">
        <f t="shared" si="8"/>
        <v>100124.20999999999</v>
      </c>
      <c r="AT22" s="72">
        <f t="shared" si="8"/>
        <v>100124.20999999999</v>
      </c>
      <c r="AU22" s="72">
        <f>AT22+25</f>
        <v>100149.20999999999</v>
      </c>
      <c r="AV22" s="72">
        <f t="shared" si="8"/>
        <v>100149.20999999999</v>
      </c>
      <c r="AW22" s="72">
        <f t="shared" si="8"/>
        <v>100149.20999999999</v>
      </c>
      <c r="AX22" s="72">
        <f t="shared" si="8"/>
        <v>100149.20999999999</v>
      </c>
      <c r="AY22" s="72"/>
    </row>
    <row r="23" spans="1:51" ht="15.75" customHeight="1" x14ac:dyDescent="0.25">
      <c r="A23" s="71" t="s">
        <v>192</v>
      </c>
      <c r="B23" s="19"/>
      <c r="C23" s="73"/>
      <c r="D23" s="73"/>
      <c r="E23" s="73"/>
      <c r="F23" s="73"/>
      <c r="G23" s="73" t="e">
        <f>1349892-#REF!-G19</f>
        <v>#REF!</v>
      </c>
      <c r="H23" s="73" t="e">
        <f>1550443-#REF!-H19</f>
        <v>#REF!</v>
      </c>
      <c r="I23" s="73" t="e">
        <f>H131-I18-#REF!-I19-I24-I21-H112-H111</f>
        <v>#REF!</v>
      </c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>
        <v>18100</v>
      </c>
      <c r="AE23" s="73">
        <f>AD23</f>
        <v>18100</v>
      </c>
      <c r="AF23" s="73">
        <f t="shared" si="7"/>
        <v>18100</v>
      </c>
      <c r="AG23" s="73">
        <f t="shared" si="7"/>
        <v>18100</v>
      </c>
      <c r="AH23" s="73">
        <f t="shared" si="7"/>
        <v>18100</v>
      </c>
      <c r="AI23" s="73">
        <f t="shared" si="7"/>
        <v>18100</v>
      </c>
      <c r="AJ23" s="73">
        <f t="shared" si="7"/>
        <v>18100</v>
      </c>
      <c r="AK23" s="73">
        <f>AJ23</f>
        <v>18100</v>
      </c>
      <c r="AL23" s="73">
        <f t="shared" si="8"/>
        <v>18100</v>
      </c>
      <c r="AM23" s="73">
        <f t="shared" si="8"/>
        <v>18100</v>
      </c>
      <c r="AN23" s="73">
        <f t="shared" si="8"/>
        <v>18100</v>
      </c>
      <c r="AO23" s="73">
        <f t="shared" si="8"/>
        <v>18100</v>
      </c>
      <c r="AP23" s="73">
        <f t="shared" si="8"/>
        <v>18100</v>
      </c>
      <c r="AQ23" s="73">
        <f t="shared" si="8"/>
        <v>18100</v>
      </c>
      <c r="AR23" s="73">
        <f t="shared" si="8"/>
        <v>18100</v>
      </c>
      <c r="AS23" s="73">
        <f t="shared" si="8"/>
        <v>18100</v>
      </c>
      <c r="AT23" s="73">
        <f t="shared" si="8"/>
        <v>18100</v>
      </c>
      <c r="AU23" s="73">
        <f t="shared" si="8"/>
        <v>18100</v>
      </c>
      <c r="AV23" s="73">
        <f t="shared" si="8"/>
        <v>18100</v>
      </c>
      <c r="AW23" s="73">
        <f t="shared" si="8"/>
        <v>18100</v>
      </c>
      <c r="AX23" s="73">
        <f t="shared" si="8"/>
        <v>18100</v>
      </c>
      <c r="AY23" s="73"/>
    </row>
    <row r="24" spans="1:51" ht="15.75" customHeight="1" x14ac:dyDescent="0.25">
      <c r="A24" s="71" t="s">
        <v>193</v>
      </c>
      <c r="B24" s="19"/>
      <c r="C24" s="72"/>
      <c r="D24" s="72"/>
      <c r="E24" s="72"/>
      <c r="F24" s="72"/>
      <c r="G24" s="72">
        <v>157609.32</v>
      </c>
      <c r="H24" s="72">
        <f>G24+G50</f>
        <v>205507.81</v>
      </c>
      <c r="I24" s="72">
        <f>H24+H50</f>
        <v>257678.84</v>
      </c>
      <c r="J24" s="72">
        <v>311155.71999999997</v>
      </c>
      <c r="K24" s="72">
        <v>369251.34</v>
      </c>
      <c r="L24" s="72">
        <f>428000.94</f>
        <v>428000.94</v>
      </c>
      <c r="M24" s="72">
        <v>487997.95</v>
      </c>
      <c r="N24" s="72">
        <f>551042.95</f>
        <v>551042.94999999995</v>
      </c>
      <c r="O24" s="72">
        <f>N24+N50</f>
        <v>617869.94999999995</v>
      </c>
      <c r="P24" s="72">
        <v>682934.7</v>
      </c>
      <c r="Q24" s="72">
        <v>743367.73</v>
      </c>
      <c r="R24" s="72">
        <v>810486.5</v>
      </c>
      <c r="S24" s="72">
        <v>889401.46</v>
      </c>
      <c r="T24" s="72">
        <f>832415.04+125000</f>
        <v>957415.04</v>
      </c>
      <c r="U24" s="72">
        <f>899088.57+125000</f>
        <v>1024088.57</v>
      </c>
      <c r="V24" s="72">
        <f>969387.97+125000</f>
        <v>1094387.97</v>
      </c>
      <c r="W24" s="72">
        <v>1167322.8500000001</v>
      </c>
      <c r="X24" s="72">
        <v>1244584</v>
      </c>
      <c r="Y24" s="72">
        <v>1326369.7</v>
      </c>
      <c r="Z24" s="72">
        <v>1404351.27</v>
      </c>
      <c r="AA24" s="72">
        <v>1485419.47</v>
      </c>
      <c r="AB24" s="69">
        <v>1567866.7700000003</v>
      </c>
      <c r="AC24" s="72">
        <v>1658607.01</v>
      </c>
      <c r="AD24" s="72">
        <v>1753733.52</v>
      </c>
      <c r="AE24" s="72">
        <v>1849259.07</v>
      </c>
      <c r="AF24" s="72">
        <v>1932126.94</v>
      </c>
      <c r="AG24" s="72">
        <f>2021631.14</f>
        <v>2021631.14</v>
      </c>
      <c r="AH24" s="72">
        <f>2109064</f>
        <v>2109064</v>
      </c>
      <c r="AI24" s="72">
        <v>2203807.0699999998</v>
      </c>
      <c r="AJ24" s="72">
        <v>2296080.27</v>
      </c>
      <c r="AK24" s="72">
        <f>2381672.7</f>
        <v>2381672.7000000002</v>
      </c>
      <c r="AL24" s="72">
        <f>AK24+AK50</f>
        <v>2477406.98</v>
      </c>
      <c r="AM24" s="72">
        <f>2616289.23+10000-43902.79</f>
        <v>2582386.44</v>
      </c>
      <c r="AN24" s="72">
        <v>2665765.5299999998</v>
      </c>
      <c r="AO24" s="72">
        <v>2763614.34</v>
      </c>
      <c r="AP24" s="72">
        <f>AO24+AO50</f>
        <v>2853011.79</v>
      </c>
      <c r="AQ24" s="72">
        <v>2954316.29</v>
      </c>
      <c r="AR24" s="72">
        <v>3056045.62</v>
      </c>
      <c r="AS24" s="72">
        <f t="shared" ref="AS24:AX24" si="9">AR24+AR50</f>
        <v>3150515.62</v>
      </c>
      <c r="AT24" s="72">
        <f t="shared" si="9"/>
        <v>3244985.62</v>
      </c>
      <c r="AU24" s="72">
        <f t="shared" si="9"/>
        <v>3339455.62</v>
      </c>
      <c r="AV24" s="72">
        <f t="shared" si="9"/>
        <v>3433925.62</v>
      </c>
      <c r="AW24" s="72">
        <f t="shared" si="9"/>
        <v>3528395.62</v>
      </c>
      <c r="AX24" s="72">
        <f t="shared" si="9"/>
        <v>3622865.62</v>
      </c>
      <c r="AY24" s="72"/>
    </row>
    <row r="25" spans="1:51" s="82" customFormat="1" ht="15.75" customHeight="1" x14ac:dyDescent="0.25">
      <c r="A25" s="87" t="s">
        <v>211</v>
      </c>
      <c r="B25" s="73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69"/>
      <c r="AC25" s="72"/>
      <c r="AD25" s="72"/>
      <c r="AE25" s="72"/>
      <c r="AF25" s="72"/>
      <c r="AG25" s="72"/>
      <c r="AH25" s="72"/>
      <c r="AI25" s="72">
        <v>0</v>
      </c>
      <c r="AJ25" s="72">
        <v>0</v>
      </c>
      <c r="AK25" s="72">
        <f>-AJ114</f>
        <v>-10000</v>
      </c>
      <c r="AL25" s="72">
        <f>-AK114</f>
        <v>-11820.66</v>
      </c>
      <c r="AM25" s="72">
        <f t="shared" ref="AM25:AX25" si="10">-AL114</f>
        <v>-10000</v>
      </c>
      <c r="AN25" s="72">
        <v>-32676.89</v>
      </c>
      <c r="AO25" s="72">
        <f t="shared" si="10"/>
        <v>-4278.32</v>
      </c>
      <c r="AP25" s="72">
        <v>-10000</v>
      </c>
      <c r="AQ25" s="72">
        <f t="shared" si="10"/>
        <v>-13804.33</v>
      </c>
      <c r="AR25" s="72">
        <v>-10000</v>
      </c>
      <c r="AS25" s="72">
        <v>-8000</v>
      </c>
      <c r="AT25" s="72">
        <f t="shared" si="10"/>
        <v>-8000</v>
      </c>
      <c r="AU25" s="72">
        <f t="shared" si="10"/>
        <v>-8000</v>
      </c>
      <c r="AV25" s="72">
        <f t="shared" si="10"/>
        <v>-8000</v>
      </c>
      <c r="AW25" s="72">
        <f t="shared" si="10"/>
        <v>-8000</v>
      </c>
      <c r="AX25" s="72">
        <f t="shared" si="10"/>
        <v>-8000</v>
      </c>
      <c r="AY25" s="72"/>
    </row>
    <row r="26" spans="1:51" ht="15.75" hidden="1" customHeight="1" x14ac:dyDescent="0.25">
      <c r="A26" s="71" t="s">
        <v>214</v>
      </c>
      <c r="B26" s="19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69"/>
      <c r="AC26" s="72"/>
      <c r="AD26" s="72"/>
      <c r="AE26" s="72"/>
      <c r="AF26" s="72"/>
      <c r="AG26" s="72"/>
      <c r="AH26" s="72"/>
      <c r="AI26" s="77">
        <f>AI25+AI24</f>
        <v>2203807.0699999998</v>
      </c>
      <c r="AJ26" s="77">
        <f>AJ25+AJ24</f>
        <v>2296080.27</v>
      </c>
      <c r="AK26" s="77">
        <f t="shared" ref="AK26" si="11">AK25+AK24</f>
        <v>2371672.7000000002</v>
      </c>
      <c r="AL26" s="77">
        <f>AL25+AL24</f>
        <v>2465586.3199999998</v>
      </c>
      <c r="AM26" s="77">
        <f>AM25+AM24</f>
        <v>2572386.44</v>
      </c>
      <c r="AN26" s="77">
        <f>AN25+AN24</f>
        <v>2633088.6399999997</v>
      </c>
      <c r="AO26" s="77">
        <f>AO25+AO24</f>
        <v>2759336.02</v>
      </c>
      <c r="AP26" s="77">
        <f t="shared" ref="AP26:AQ26" si="12">AP25+AP24</f>
        <v>2843011.79</v>
      </c>
      <c r="AQ26" s="77">
        <f t="shared" si="12"/>
        <v>2940511.96</v>
      </c>
      <c r="AR26" s="77">
        <f t="shared" ref="AR26:AS26" si="13">AR25+AR24</f>
        <v>3046045.62</v>
      </c>
      <c r="AS26" s="77">
        <f t="shared" si="13"/>
        <v>3142515.62</v>
      </c>
      <c r="AT26" s="77">
        <f t="shared" ref="AT26:AV26" si="14">AT25+AT24</f>
        <v>3236985.62</v>
      </c>
      <c r="AU26" s="77">
        <f t="shared" si="14"/>
        <v>3331455.62</v>
      </c>
      <c r="AV26" s="77">
        <f t="shared" si="14"/>
        <v>3425925.62</v>
      </c>
      <c r="AW26" s="77">
        <f t="shared" ref="AW26" si="15">AW25+AW24</f>
        <v>3520395.62</v>
      </c>
      <c r="AX26" s="77">
        <f t="shared" ref="AX26" si="16">AX25+AX24</f>
        <v>3614865.62</v>
      </c>
      <c r="AY26" s="77"/>
    </row>
    <row r="27" spans="1:51" ht="15.75" customHeight="1" x14ac:dyDescent="0.25">
      <c r="A27" s="71" t="s">
        <v>194</v>
      </c>
      <c r="B27" s="19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69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</row>
    <row r="28" spans="1:51" ht="15.75" customHeight="1" x14ac:dyDescent="0.25">
      <c r="A28" s="71" t="s">
        <v>163</v>
      </c>
      <c r="B28" s="19"/>
      <c r="C28" s="73"/>
      <c r="D28" s="73"/>
      <c r="E28" s="73"/>
      <c r="F28" s="73"/>
      <c r="G28" s="73"/>
      <c r="H28" s="73"/>
      <c r="I28" s="73"/>
      <c r="J28" s="73">
        <v>118755.58</v>
      </c>
      <c r="K28" s="73">
        <f>+J28-J108</f>
        <v>62892.450000000004</v>
      </c>
      <c r="L28" s="73">
        <f>+K28-K108</f>
        <v>52112.020000000004</v>
      </c>
      <c r="M28" s="73">
        <f>+L28-L108</f>
        <v>41332.020000000004</v>
      </c>
      <c r="N28" s="73">
        <f>+M28-M108+388608</f>
        <v>419160.02</v>
      </c>
      <c r="O28" s="73">
        <f t="shared" ref="O28:AA28" si="17">N28-N108</f>
        <v>408380.02</v>
      </c>
      <c r="P28" s="73">
        <f t="shared" si="17"/>
        <v>408380.02</v>
      </c>
      <c r="Q28" s="73">
        <f t="shared" si="17"/>
        <v>408380.02</v>
      </c>
      <c r="R28" s="73">
        <f t="shared" si="17"/>
        <v>408380.02</v>
      </c>
      <c r="S28" s="73">
        <f t="shared" si="17"/>
        <v>377539.45</v>
      </c>
      <c r="T28" s="73">
        <f t="shared" si="17"/>
        <v>366758.82</v>
      </c>
      <c r="U28" s="73">
        <f t="shared" si="17"/>
        <v>355978.19</v>
      </c>
      <c r="V28" s="73">
        <f t="shared" si="17"/>
        <v>345197.56</v>
      </c>
      <c r="W28" s="73">
        <f t="shared" si="17"/>
        <v>334416.93</v>
      </c>
      <c r="X28" s="73">
        <f t="shared" si="17"/>
        <v>323636.3</v>
      </c>
      <c r="Y28" s="73">
        <f t="shared" si="17"/>
        <v>312855.67</v>
      </c>
      <c r="Z28" s="73">
        <f t="shared" si="17"/>
        <v>302075.03999999998</v>
      </c>
      <c r="AA28" s="73">
        <f t="shared" si="17"/>
        <v>291294.40999999997</v>
      </c>
      <c r="AB28" s="70">
        <v>269734</v>
      </c>
      <c r="AC28" s="73">
        <v>269733.88</v>
      </c>
      <c r="AD28" s="73">
        <f t="shared" ref="AD28:AX28" si="18">AC28-AC108</f>
        <v>258953.47</v>
      </c>
      <c r="AE28" s="73">
        <f t="shared" si="18"/>
        <v>248173.06</v>
      </c>
      <c r="AF28" s="73">
        <f t="shared" si="18"/>
        <v>237392.65</v>
      </c>
      <c r="AG28" s="73">
        <f t="shared" si="18"/>
        <v>226612.24</v>
      </c>
      <c r="AH28" s="73">
        <f t="shared" si="18"/>
        <v>215831.83</v>
      </c>
      <c r="AI28" s="73">
        <f t="shared" si="18"/>
        <v>205051.41999999998</v>
      </c>
      <c r="AJ28" s="73">
        <f t="shared" si="18"/>
        <v>194271.00999999998</v>
      </c>
      <c r="AK28" s="73">
        <f t="shared" si="18"/>
        <v>183490.59999999998</v>
      </c>
      <c r="AL28" s="73">
        <f t="shared" si="18"/>
        <v>172710.18999999997</v>
      </c>
      <c r="AM28" s="73">
        <f t="shared" si="18"/>
        <v>161929.77999999997</v>
      </c>
      <c r="AN28" s="73">
        <f t="shared" si="18"/>
        <v>151149.36999999997</v>
      </c>
      <c r="AO28" s="73">
        <f t="shared" si="18"/>
        <v>140368.95999999996</v>
      </c>
      <c r="AP28" s="73">
        <f t="shared" si="18"/>
        <v>129588.54999999996</v>
      </c>
      <c r="AQ28" s="73">
        <f t="shared" si="18"/>
        <v>118808.13999999996</v>
      </c>
      <c r="AR28" s="73">
        <f t="shared" si="18"/>
        <v>108027.72999999995</v>
      </c>
      <c r="AS28" s="73">
        <f t="shared" si="18"/>
        <v>97247.319999999949</v>
      </c>
      <c r="AT28" s="73">
        <f t="shared" si="18"/>
        <v>86466.909999999945</v>
      </c>
      <c r="AU28" s="73">
        <f t="shared" si="18"/>
        <v>75686.499999999942</v>
      </c>
      <c r="AV28" s="73">
        <f t="shared" si="18"/>
        <v>64906.089999999938</v>
      </c>
      <c r="AW28" s="73">
        <f t="shared" si="18"/>
        <v>54125.679999999935</v>
      </c>
      <c r="AX28" s="73">
        <f t="shared" si="18"/>
        <v>43345.269999999931</v>
      </c>
      <c r="AY28" s="73"/>
    </row>
    <row r="29" spans="1:51" ht="15.75" customHeight="1" x14ac:dyDescent="0.25">
      <c r="A29" s="71" t="s">
        <v>216</v>
      </c>
      <c r="B29" s="19"/>
      <c r="C29" s="73"/>
      <c r="D29" s="73"/>
      <c r="E29" s="73"/>
      <c r="F29" s="73"/>
      <c r="G29" s="73"/>
      <c r="H29" s="73"/>
      <c r="I29" s="73"/>
      <c r="J29" s="73"/>
      <c r="K29" s="73"/>
      <c r="L29" s="73">
        <f>520887+16241</f>
        <v>537128</v>
      </c>
      <c r="M29" s="73">
        <v>272461.74</v>
      </c>
      <c r="N29" s="73">
        <v>154512.53</v>
      </c>
      <c r="O29" s="73">
        <v>59534.36</v>
      </c>
      <c r="P29" s="73">
        <f>368230.84-283597</f>
        <v>84633.840000000026</v>
      </c>
      <c r="Q29" s="73">
        <v>349867.66</v>
      </c>
      <c r="R29" s="73">
        <v>349867.66</v>
      </c>
      <c r="S29" s="73">
        <v>293240.90999999997</v>
      </c>
      <c r="T29" s="73">
        <v>76814.41</v>
      </c>
      <c r="U29" s="73">
        <v>348815</v>
      </c>
      <c r="V29" s="73">
        <v>312219.5</v>
      </c>
      <c r="W29" s="73">
        <v>235803</v>
      </c>
      <c r="X29" s="73">
        <v>0</v>
      </c>
      <c r="Y29" s="73">
        <v>0</v>
      </c>
      <c r="Z29" s="73">
        <v>0</v>
      </c>
      <c r="AA29" s="73">
        <v>0</v>
      </c>
      <c r="AB29" s="73">
        <v>0</v>
      </c>
      <c r="AC29" s="73">
        <v>0</v>
      </c>
      <c r="AD29" s="73">
        <v>0</v>
      </c>
      <c r="AE29" s="73">
        <v>0</v>
      </c>
      <c r="AF29" s="73">
        <v>0</v>
      </c>
      <c r="AG29" s="48">
        <v>0</v>
      </c>
      <c r="AH29" s="73">
        <v>0</v>
      </c>
      <c r="AI29" s="79">
        <v>0</v>
      </c>
      <c r="AJ29" s="79">
        <v>1453806</v>
      </c>
      <c r="AK29" s="73">
        <f>+AJ29-AJ119</f>
        <v>1409589.24</v>
      </c>
      <c r="AL29" s="73">
        <f>+AK29-AK119</f>
        <v>1409589.24</v>
      </c>
      <c r="AM29" s="73">
        <f>+AL29-AL119</f>
        <v>1402820.13</v>
      </c>
      <c r="AN29" s="73">
        <f>+AM29-AM119-AN117</f>
        <v>1402820.13</v>
      </c>
      <c r="AO29" s="73">
        <f t="shared" ref="AO29:AX29" si="19">+AN29-((AN117+AN119)/2)</f>
        <v>1402820.13</v>
      </c>
      <c r="AP29" s="73">
        <f t="shared" si="19"/>
        <v>1398282.13</v>
      </c>
      <c r="AQ29" s="73">
        <f t="shared" si="19"/>
        <v>1398282.13</v>
      </c>
      <c r="AR29" s="73">
        <v>1373281.64</v>
      </c>
      <c r="AS29" s="73">
        <f t="shared" si="19"/>
        <v>1360781.64</v>
      </c>
      <c r="AT29" s="73">
        <f t="shared" si="19"/>
        <v>1324181.6399999999</v>
      </c>
      <c r="AU29" s="73">
        <f t="shared" si="19"/>
        <v>1292931.6399999999</v>
      </c>
      <c r="AV29" s="73">
        <f t="shared" si="19"/>
        <v>1255431.6399999999</v>
      </c>
      <c r="AW29" s="73">
        <f t="shared" si="19"/>
        <v>1224181.6399999999</v>
      </c>
      <c r="AX29" s="73">
        <f t="shared" si="19"/>
        <v>1192931.6399999999</v>
      </c>
      <c r="AY29" s="73"/>
    </row>
    <row r="30" spans="1:51" ht="15.75" customHeight="1" x14ac:dyDescent="0.25">
      <c r="A30" s="71" t="s">
        <v>233</v>
      </c>
      <c r="B30" s="19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48"/>
      <c r="AH30" s="73"/>
      <c r="AI30" s="79"/>
      <c r="AJ30" s="79"/>
      <c r="AK30" s="73"/>
      <c r="AL30" s="73"/>
      <c r="AM30" s="73">
        <v>-50986.11</v>
      </c>
      <c r="AN30" s="73">
        <f>+AM30</f>
        <v>-50986.11</v>
      </c>
      <c r="AO30" s="73">
        <f>+AN30+(AN117+AN119)/2</f>
        <v>-50986.11</v>
      </c>
      <c r="AP30" s="73">
        <f t="shared" ref="AP30:AX30" si="20">+AO30-(AO117+AO119)/2</f>
        <v>-55524.11</v>
      </c>
      <c r="AQ30" s="73">
        <f t="shared" si="20"/>
        <v>-55524.11</v>
      </c>
      <c r="AR30" s="73">
        <v>-80524.36</v>
      </c>
      <c r="AS30" s="73">
        <f t="shared" si="20"/>
        <v>-93024.36</v>
      </c>
      <c r="AT30" s="73">
        <f t="shared" si="20"/>
        <v>-129624.36</v>
      </c>
      <c r="AU30" s="73">
        <f t="shared" si="20"/>
        <v>-160874.35999999999</v>
      </c>
      <c r="AV30" s="73">
        <f t="shared" si="20"/>
        <v>-198374.36</v>
      </c>
      <c r="AW30" s="73">
        <f t="shared" si="20"/>
        <v>-229624.36</v>
      </c>
      <c r="AX30" s="73">
        <f t="shared" si="20"/>
        <v>-260874.36</v>
      </c>
      <c r="AY30" s="73"/>
    </row>
    <row r="31" spans="1:51" ht="15.75" customHeight="1" x14ac:dyDescent="0.25">
      <c r="A31" s="71" t="s">
        <v>230</v>
      </c>
      <c r="B31" s="19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>
        <v>0</v>
      </c>
      <c r="AM31" s="73">
        <f>+AL52</f>
        <v>0</v>
      </c>
      <c r="AN31" s="73">
        <f>+AM52</f>
        <v>0</v>
      </c>
      <c r="AO31" s="73">
        <f>+AN52</f>
        <v>0</v>
      </c>
      <c r="AP31" s="73">
        <v>0</v>
      </c>
      <c r="AQ31" s="73">
        <f t="shared" ref="AQ31:AX31" si="21">+AP52</f>
        <v>0</v>
      </c>
      <c r="AR31" s="73">
        <f t="shared" si="21"/>
        <v>0</v>
      </c>
      <c r="AS31" s="73">
        <v>0</v>
      </c>
      <c r="AT31" s="73">
        <f t="shared" si="21"/>
        <v>0</v>
      </c>
      <c r="AU31" s="73">
        <f t="shared" si="21"/>
        <v>0</v>
      </c>
      <c r="AV31" s="73">
        <f t="shared" si="21"/>
        <v>0</v>
      </c>
      <c r="AW31" s="73">
        <f t="shared" si="21"/>
        <v>20000</v>
      </c>
      <c r="AX31" s="73">
        <f t="shared" si="21"/>
        <v>0</v>
      </c>
      <c r="AY31" s="73"/>
    </row>
    <row r="32" spans="1:51" ht="15.75" customHeight="1" x14ac:dyDescent="0.25">
      <c r="A32" s="71" t="s">
        <v>161</v>
      </c>
      <c r="B32" s="19"/>
      <c r="C32" s="73"/>
      <c r="D32" s="73"/>
      <c r="E32" s="73"/>
      <c r="F32" s="73"/>
      <c r="G32" s="73"/>
      <c r="H32" s="73"/>
      <c r="I32" s="73"/>
      <c r="J32" s="73">
        <v>2000000</v>
      </c>
      <c r="K32" s="73">
        <v>2000000</v>
      </c>
      <c r="L32" s="73">
        <v>1100000</v>
      </c>
      <c r="M32" s="73">
        <f>L32-L109</f>
        <v>1100000</v>
      </c>
      <c r="N32" s="73">
        <v>1292500</v>
      </c>
      <c r="O32" s="73">
        <f>N32-N109</f>
        <v>1292500</v>
      </c>
      <c r="P32" s="73">
        <f>O32-O109</f>
        <v>1292500</v>
      </c>
      <c r="Q32" s="73">
        <v>1279330.99</v>
      </c>
      <c r="R32" s="73">
        <v>1279330.99</v>
      </c>
      <c r="S32" s="73">
        <v>1268773.31</v>
      </c>
      <c r="T32" s="73">
        <v>1266362.17</v>
      </c>
      <c r="U32" s="73">
        <v>1254401.1299999999</v>
      </c>
      <c r="V32" s="73">
        <v>1242050</v>
      </c>
      <c r="W32" s="73">
        <v>1220967.8400000001</v>
      </c>
      <c r="X32" s="73">
        <v>1214751.9600000004</v>
      </c>
      <c r="Y32" s="73">
        <v>1214177.96</v>
      </c>
      <c r="Z32" s="73">
        <v>1211145.53</v>
      </c>
      <c r="AA32" s="73">
        <v>962205.19</v>
      </c>
      <c r="AB32" s="70">
        <v>1203855</v>
      </c>
      <c r="AC32" s="73">
        <f>1201581.53</f>
        <v>1201581.53</v>
      </c>
      <c r="AD32" s="73">
        <v>1200207.53</v>
      </c>
      <c r="AE32" s="73">
        <v>1198808.53</v>
      </c>
      <c r="AF32" s="73">
        <v>1196137</v>
      </c>
      <c r="AG32" s="73">
        <f>1196136.53</f>
        <v>1196136.53</v>
      </c>
      <c r="AH32" s="73">
        <v>1194338.53</v>
      </c>
      <c r="AI32" s="73">
        <f>AH32-AH110</f>
        <v>1193439.53</v>
      </c>
      <c r="AJ32" s="73">
        <v>1192560.52</v>
      </c>
      <c r="AK32" s="73">
        <f>1192560.52</f>
        <v>1192560.52</v>
      </c>
      <c r="AL32" s="73">
        <f>AK32-AK110</f>
        <v>1192560.52</v>
      </c>
      <c r="AM32" s="73">
        <f>AL32-AL110</f>
        <v>1192560.52</v>
      </c>
      <c r="AN32" s="73">
        <v>1192810.52</v>
      </c>
      <c r="AO32" s="73">
        <f t="shared" ref="AO32:AX32" si="22">AN32-AN110</f>
        <v>1192810.52</v>
      </c>
      <c r="AP32" s="73">
        <f t="shared" si="22"/>
        <v>1192810.52</v>
      </c>
      <c r="AQ32" s="73">
        <f t="shared" si="22"/>
        <v>1192810.52</v>
      </c>
      <c r="AR32" s="73">
        <f t="shared" si="22"/>
        <v>1192810.52</v>
      </c>
      <c r="AS32" s="73">
        <f t="shared" si="22"/>
        <v>1192810.52</v>
      </c>
      <c r="AT32" s="73">
        <f t="shared" si="22"/>
        <v>1192810.52</v>
      </c>
      <c r="AU32" s="73">
        <f t="shared" si="22"/>
        <v>1192810.52</v>
      </c>
      <c r="AV32" s="73">
        <f t="shared" si="22"/>
        <v>1192810.52</v>
      </c>
      <c r="AW32" s="73">
        <f t="shared" si="22"/>
        <v>1192810.52</v>
      </c>
      <c r="AX32" s="73">
        <f t="shared" si="22"/>
        <v>1192810.52</v>
      </c>
      <c r="AY32" s="73"/>
    </row>
    <row r="33" spans="1:59" ht="15.75" customHeight="1" x14ac:dyDescent="0.25">
      <c r="A33" s="71" t="s">
        <v>162</v>
      </c>
      <c r="B33" s="19"/>
      <c r="C33" s="73"/>
      <c r="D33" s="73"/>
      <c r="E33" s="73"/>
      <c r="F33" s="73"/>
      <c r="G33" s="73"/>
      <c r="H33" s="73"/>
      <c r="I33" s="73"/>
      <c r="J33" s="73"/>
      <c r="K33" s="73"/>
      <c r="L33" s="73">
        <v>2486809.17</v>
      </c>
      <c r="M33" s="73">
        <v>2459567.08</v>
      </c>
      <c r="N33" s="73">
        <v>2405893.33</v>
      </c>
      <c r="O33" s="73">
        <v>2157325.8099999996</v>
      </c>
      <c r="P33" s="73">
        <f>O33-O111</f>
        <v>1866551.7499999995</v>
      </c>
      <c r="Q33" s="73">
        <v>1615814.61</v>
      </c>
      <c r="R33" s="73">
        <v>1615814.61</v>
      </c>
      <c r="S33" s="73">
        <v>1436152.47</v>
      </c>
      <c r="T33" s="73">
        <v>1373888.68</v>
      </c>
      <c r="U33" s="73">
        <v>1298947.26</v>
      </c>
      <c r="V33" s="73">
        <v>1121658.7</v>
      </c>
      <c r="W33" s="73">
        <v>1080748.05</v>
      </c>
      <c r="X33" s="73">
        <v>923963.76999999955</v>
      </c>
      <c r="Y33" s="73">
        <v>840085.47</v>
      </c>
      <c r="Z33" s="73">
        <v>787893.46</v>
      </c>
      <c r="AA33" s="73">
        <v>752180.66</v>
      </c>
      <c r="AB33" s="70">
        <v>743540</v>
      </c>
      <c r="AC33" s="73">
        <v>726716.81</v>
      </c>
      <c r="AD33" s="73">
        <v>721757.3</v>
      </c>
      <c r="AE33" s="73">
        <f>IF(AD33-AD111&lt;0,0,AD33-AD111)</f>
        <v>704893.3</v>
      </c>
      <c r="AF33" s="73">
        <v>702465.58</v>
      </c>
      <c r="AG33" s="73">
        <f>582190.06</f>
        <v>582190.06000000006</v>
      </c>
      <c r="AH33" s="73">
        <v>655373.13</v>
      </c>
      <c r="AI33" s="73">
        <v>630004.62999999977</v>
      </c>
      <c r="AJ33" s="73">
        <v>629342</v>
      </c>
      <c r="AK33" s="73">
        <f>602299.14</f>
        <v>602299.14</v>
      </c>
      <c r="AL33" s="73">
        <f>IF(AK33-AK111&lt;0,0,AK33-AK111)</f>
        <v>602299.14</v>
      </c>
      <c r="AM33" s="73">
        <f>IF(AL33-AL111&lt;0,0,AL33-AL111)-4913.85</f>
        <v>597385.29</v>
      </c>
      <c r="AN33" s="73">
        <v>596820.65</v>
      </c>
      <c r="AO33" s="73">
        <f>IF(AN33-AN111&lt;0,0,AN33-AN111)</f>
        <v>596164.93000000005</v>
      </c>
      <c r="AP33" s="73">
        <f>IF(AO33-AO111&lt;0,0,AO33-AO111)</f>
        <v>596016.6100000001</v>
      </c>
      <c r="AQ33" s="73">
        <v>595982.5</v>
      </c>
      <c r="AR33" s="73">
        <f t="shared" ref="AR33:AX33" si="23">IF(AQ33-AQ111&lt;0,0,AQ33-AQ111)</f>
        <v>595982.5</v>
      </c>
      <c r="AS33" s="73">
        <f t="shared" si="23"/>
        <v>595982.5</v>
      </c>
      <c r="AT33" s="73">
        <f t="shared" si="23"/>
        <v>595982.5</v>
      </c>
      <c r="AU33" s="73">
        <f t="shared" si="23"/>
        <v>595982.5</v>
      </c>
      <c r="AV33" s="73">
        <f t="shared" si="23"/>
        <v>595982.5</v>
      </c>
      <c r="AW33" s="73">
        <f t="shared" si="23"/>
        <v>595982.5</v>
      </c>
      <c r="AX33" s="73">
        <f t="shared" si="23"/>
        <v>595982.5</v>
      </c>
      <c r="AY33" s="73"/>
    </row>
    <row r="34" spans="1:59" ht="15.75" customHeight="1" x14ac:dyDescent="0.25">
      <c r="A34" s="71" t="s">
        <v>165</v>
      </c>
      <c r="B34" s="19"/>
      <c r="C34" s="73"/>
      <c r="D34" s="73"/>
      <c r="E34" s="73"/>
      <c r="F34" s="73"/>
      <c r="G34" s="73"/>
      <c r="H34" s="73"/>
      <c r="I34" s="73"/>
      <c r="J34" s="73"/>
      <c r="K34" s="73"/>
      <c r="L34" s="73">
        <v>97581</v>
      </c>
      <c r="M34" s="73">
        <v>97581</v>
      </c>
      <c r="N34" s="73">
        <v>77105.98</v>
      </c>
      <c r="O34" s="73">
        <f>N34-O112</f>
        <v>77105.98</v>
      </c>
      <c r="P34" s="73">
        <f>O34-P112</f>
        <v>77105.98</v>
      </c>
      <c r="Q34" s="73">
        <f>P34-P112</f>
        <v>77105.98</v>
      </c>
      <c r="R34" s="73">
        <f>Q34-S112</f>
        <v>77105.98</v>
      </c>
      <c r="S34" s="73">
        <v>77105.08</v>
      </c>
      <c r="T34" s="73">
        <f>IF(S34-S112&lt;0,0,S34-S112)</f>
        <v>77105.08</v>
      </c>
      <c r="U34" s="73">
        <v>77105.08</v>
      </c>
      <c r="V34" s="73">
        <v>77036.5</v>
      </c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48"/>
      <c r="AH34" s="73"/>
      <c r="AI34" s="79"/>
      <c r="AJ34" s="79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</row>
    <row r="35" spans="1:59" ht="15.75" customHeight="1" x14ac:dyDescent="0.25">
      <c r="A35" s="71" t="s">
        <v>166</v>
      </c>
      <c r="B35" s="19"/>
      <c r="C35" s="73"/>
      <c r="D35" s="73"/>
      <c r="E35" s="73"/>
      <c r="F35" s="73"/>
      <c r="G35" s="73"/>
      <c r="H35" s="73"/>
      <c r="I35" s="73"/>
      <c r="J35" s="73"/>
      <c r="K35" s="73"/>
      <c r="L35" s="73">
        <f>239050</f>
        <v>239050</v>
      </c>
      <c r="M35" s="73">
        <f>L35-L113</f>
        <v>239050</v>
      </c>
      <c r="N35" s="73">
        <v>238899.77</v>
      </c>
      <c r="O35" s="73">
        <f>N35-N113</f>
        <v>238899.77</v>
      </c>
      <c r="P35" s="73">
        <f>O35-O113</f>
        <v>238899.77</v>
      </c>
      <c r="Q35" s="73">
        <f>P35-P113</f>
        <v>238899.77</v>
      </c>
      <c r="R35" s="73">
        <v>238900.74</v>
      </c>
      <c r="S35" s="73">
        <v>228441.74</v>
      </c>
      <c r="T35" s="73">
        <f>S35-S113</f>
        <v>223322.99</v>
      </c>
      <c r="U35" s="73">
        <f>T35-T113</f>
        <v>223322.99</v>
      </c>
      <c r="V35" s="73">
        <v>155402.99</v>
      </c>
      <c r="W35" s="73">
        <v>131499.74</v>
      </c>
      <c r="X35" s="73">
        <v>131499.74</v>
      </c>
      <c r="Y35" s="73">
        <f>X35-X113</f>
        <v>131499.74</v>
      </c>
      <c r="Z35" s="73">
        <f>Y35-Y113</f>
        <v>131499.74</v>
      </c>
      <c r="AA35" s="73">
        <v>119789.44</v>
      </c>
      <c r="AB35" s="73">
        <f>119789</f>
        <v>119789</v>
      </c>
      <c r="AC35" s="73">
        <v>68719.44</v>
      </c>
      <c r="AD35" s="73">
        <v>65295.74</v>
      </c>
      <c r="AE35" s="73">
        <f>AD35-AD113</f>
        <v>56716.74</v>
      </c>
      <c r="AF35" s="73">
        <v>0</v>
      </c>
      <c r="AG35" s="48">
        <f>AF35-AF113</f>
        <v>0</v>
      </c>
      <c r="AH35" s="73">
        <f>AG35-AG113</f>
        <v>0</v>
      </c>
      <c r="AI35" s="79">
        <f>AH35-AH113</f>
        <v>0</v>
      </c>
      <c r="AJ35" s="79">
        <f>AI35-AI113</f>
        <v>0</v>
      </c>
      <c r="AK35" s="73"/>
      <c r="AL35" s="73">
        <f t="shared" ref="AL35:AX35" si="24">AK35-AK113</f>
        <v>0</v>
      </c>
      <c r="AM35" s="73">
        <f t="shared" si="24"/>
        <v>0</v>
      </c>
      <c r="AN35" s="73">
        <f t="shared" si="24"/>
        <v>0</v>
      </c>
      <c r="AO35" s="73">
        <f t="shared" si="24"/>
        <v>0</v>
      </c>
      <c r="AP35" s="73">
        <f t="shared" si="24"/>
        <v>0</v>
      </c>
      <c r="AQ35" s="73">
        <f t="shared" si="24"/>
        <v>0</v>
      </c>
      <c r="AR35" s="73">
        <f t="shared" si="24"/>
        <v>0</v>
      </c>
      <c r="AS35" s="73">
        <f t="shared" si="24"/>
        <v>0</v>
      </c>
      <c r="AT35" s="73">
        <f t="shared" si="24"/>
        <v>0</v>
      </c>
      <c r="AU35" s="73">
        <f t="shared" si="24"/>
        <v>0</v>
      </c>
      <c r="AV35" s="73">
        <f t="shared" si="24"/>
        <v>0</v>
      </c>
      <c r="AW35" s="73">
        <f t="shared" si="24"/>
        <v>0</v>
      </c>
      <c r="AX35" s="73">
        <f t="shared" si="24"/>
        <v>0</v>
      </c>
      <c r="AY35" s="73"/>
    </row>
    <row r="36" spans="1:59" ht="15.75" customHeight="1" x14ac:dyDescent="0.25">
      <c r="A36" s="71" t="s">
        <v>177</v>
      </c>
      <c r="B36" s="19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>
        <f>607452.32</f>
        <v>607452.31999999995</v>
      </c>
      <c r="O36" s="73">
        <v>607452.34</v>
      </c>
      <c r="P36" s="73">
        <f>N36</f>
        <v>607452.31999999995</v>
      </c>
      <c r="Q36" s="73">
        <v>580567.47</v>
      </c>
      <c r="R36" s="73">
        <v>580567.47</v>
      </c>
      <c r="S36" s="73">
        <f>R36</f>
        <v>580567.47</v>
      </c>
      <c r="T36" s="73">
        <v>501635.34</v>
      </c>
      <c r="U36" s="73">
        <v>501535.34</v>
      </c>
      <c r="V36" s="73">
        <v>423831.42</v>
      </c>
      <c r="W36" s="73">
        <f>422797.96+77037+171000</f>
        <v>670834.96</v>
      </c>
      <c r="X36" s="73">
        <v>247226.22999999992</v>
      </c>
      <c r="Y36" s="73">
        <v>247226.23</v>
      </c>
      <c r="Z36" s="73">
        <v>232534.68</v>
      </c>
      <c r="AA36" s="73">
        <v>210469.29</v>
      </c>
      <c r="AB36" s="73">
        <f>248363.43</f>
        <v>248363.43</v>
      </c>
      <c r="AC36" s="73">
        <v>196321.64</v>
      </c>
      <c r="AD36" s="73">
        <v>187017.02</v>
      </c>
      <c r="AE36" s="73">
        <v>177947.7</v>
      </c>
      <c r="AF36" s="73">
        <v>149250</v>
      </c>
      <c r="AG36" s="73">
        <f>150702.79</f>
        <v>150702.79</v>
      </c>
      <c r="AH36" s="73">
        <v>138808.78</v>
      </c>
      <c r="AI36" s="73">
        <v>22120.309999999998</v>
      </c>
      <c r="AJ36" s="73">
        <v>7213</v>
      </c>
      <c r="AK36" s="73"/>
      <c r="AL36" s="73">
        <v>0</v>
      </c>
      <c r="AM36" s="73">
        <v>0</v>
      </c>
      <c r="AN36" s="73">
        <v>0</v>
      </c>
      <c r="AO36" s="73">
        <v>0</v>
      </c>
      <c r="AP36" s="73">
        <v>0</v>
      </c>
      <c r="AQ36" s="73">
        <v>0</v>
      </c>
      <c r="AR36" s="73">
        <v>0</v>
      </c>
      <c r="AS36" s="73">
        <v>0</v>
      </c>
      <c r="AT36" s="73">
        <v>0</v>
      </c>
      <c r="AU36" s="73">
        <v>0</v>
      </c>
      <c r="AV36" s="73">
        <v>0</v>
      </c>
      <c r="AW36" s="73">
        <v>0</v>
      </c>
      <c r="AX36" s="73">
        <v>0</v>
      </c>
      <c r="AY36" s="73"/>
    </row>
    <row r="37" spans="1:59" ht="15.75" customHeight="1" x14ac:dyDescent="0.25">
      <c r="A37" s="71" t="s">
        <v>181</v>
      </c>
      <c r="B37" s="19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>
        <v>171000</v>
      </c>
      <c r="O37" s="73">
        <f>N37</f>
        <v>171000</v>
      </c>
      <c r="P37" s="73">
        <f>O37</f>
        <v>171000</v>
      </c>
      <c r="Q37" s="73">
        <f t="shared" ref="Q37:V37" si="25">P37-P119</f>
        <v>171000</v>
      </c>
      <c r="R37" s="73">
        <f t="shared" si="25"/>
        <v>171000</v>
      </c>
      <c r="S37" s="73">
        <f t="shared" si="25"/>
        <v>171000</v>
      </c>
      <c r="T37" s="73">
        <f t="shared" si="25"/>
        <v>171000</v>
      </c>
      <c r="U37" s="73">
        <f t="shared" si="25"/>
        <v>171000</v>
      </c>
      <c r="V37" s="73">
        <f t="shared" si="25"/>
        <v>171000</v>
      </c>
      <c r="W37" s="73"/>
      <c r="X37" s="73">
        <v>422797.71</v>
      </c>
      <c r="Y37" s="73">
        <f t="shared" ref="Y37:AJ37" si="26">X37</f>
        <v>422797.71</v>
      </c>
      <c r="Z37" s="73">
        <f t="shared" si="26"/>
        <v>422797.71</v>
      </c>
      <c r="AA37" s="73">
        <f t="shared" si="26"/>
        <v>422797.71</v>
      </c>
      <c r="AB37" s="73">
        <v>422797.71</v>
      </c>
      <c r="AC37" s="73">
        <v>422797.77</v>
      </c>
      <c r="AD37" s="73">
        <f>AC37</f>
        <v>422797.77</v>
      </c>
      <c r="AE37" s="73">
        <f t="shared" si="26"/>
        <v>422797.77</v>
      </c>
      <c r="AF37" s="73">
        <f t="shared" si="26"/>
        <v>422797.77</v>
      </c>
      <c r="AG37" s="73">
        <f t="shared" si="26"/>
        <v>422797.77</v>
      </c>
      <c r="AH37" s="73">
        <f t="shared" si="26"/>
        <v>422797.77</v>
      </c>
      <c r="AI37" s="73">
        <f t="shared" si="26"/>
        <v>422797.77</v>
      </c>
      <c r="AJ37" s="73">
        <f t="shared" si="26"/>
        <v>422797.77</v>
      </c>
      <c r="AK37" s="73">
        <f t="shared" ref="AK37:AX37" si="27">AJ37</f>
        <v>422797.77</v>
      </c>
      <c r="AL37" s="73">
        <f t="shared" si="27"/>
        <v>422797.77</v>
      </c>
      <c r="AM37" s="73">
        <f t="shared" si="27"/>
        <v>422797.77</v>
      </c>
      <c r="AN37" s="73">
        <f t="shared" si="27"/>
        <v>422797.77</v>
      </c>
      <c r="AO37" s="73">
        <f t="shared" si="27"/>
        <v>422797.77</v>
      </c>
      <c r="AP37" s="73">
        <f t="shared" si="27"/>
        <v>422797.77</v>
      </c>
      <c r="AQ37" s="73">
        <f t="shared" si="27"/>
        <v>422797.77</v>
      </c>
      <c r="AR37" s="73">
        <f t="shared" si="27"/>
        <v>422797.77</v>
      </c>
      <c r="AS37" s="73">
        <f t="shared" si="27"/>
        <v>422797.77</v>
      </c>
      <c r="AT37" s="73">
        <f t="shared" si="27"/>
        <v>422797.77</v>
      </c>
      <c r="AU37" s="73">
        <f t="shared" si="27"/>
        <v>422797.77</v>
      </c>
      <c r="AV37" s="73">
        <f t="shared" si="27"/>
        <v>422797.77</v>
      </c>
      <c r="AW37" s="73">
        <f t="shared" si="27"/>
        <v>422797.77</v>
      </c>
      <c r="AX37" s="73">
        <f t="shared" si="27"/>
        <v>422797.77</v>
      </c>
      <c r="AY37" s="73"/>
    </row>
    <row r="38" spans="1:59" ht="15.75" customHeight="1" x14ac:dyDescent="0.25">
      <c r="A38" s="71" t="s">
        <v>212</v>
      </c>
      <c r="B38" s="19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>
        <v>88556.82</v>
      </c>
      <c r="U38" s="73">
        <v>99392.7</v>
      </c>
      <c r="V38" s="73">
        <v>99389.64</v>
      </c>
      <c r="W38" s="73">
        <v>146236</v>
      </c>
      <c r="X38" s="73">
        <v>147166.88</v>
      </c>
      <c r="Y38" s="73">
        <v>127578.69</v>
      </c>
      <c r="Z38" s="73">
        <v>116803.27</v>
      </c>
      <c r="AA38" s="73">
        <v>116182.31</v>
      </c>
      <c r="AB38" s="73">
        <v>116563.16</v>
      </c>
      <c r="AC38" s="73">
        <f>118329.58</f>
        <v>118329.58</v>
      </c>
      <c r="AD38" s="73">
        <v>124046.38</v>
      </c>
      <c r="AE38" s="73">
        <v>124298.6</v>
      </c>
      <c r="AF38" s="73">
        <v>131358</v>
      </c>
      <c r="AG38" s="73">
        <f>104203.96</f>
        <v>104203.96</v>
      </c>
      <c r="AH38" s="73">
        <f>91738.12</f>
        <v>91738.12</v>
      </c>
      <c r="AI38" s="73">
        <v>93321</v>
      </c>
      <c r="AJ38" s="73">
        <v>372087.61</v>
      </c>
      <c r="AK38" s="73">
        <v>326882.77</v>
      </c>
      <c r="AL38" s="73">
        <f>AK38+AK58-AK117</f>
        <v>535982.77</v>
      </c>
      <c r="AM38" s="73">
        <v>295318.78999999998</v>
      </c>
      <c r="AN38" s="73">
        <v>300925.83</v>
      </c>
      <c r="AO38" s="73">
        <f>AN38+AN58-AN117</f>
        <v>304531.28000000003</v>
      </c>
      <c r="AP38" s="73">
        <f>AO38+AO58-AO117</f>
        <v>299166.73000000004</v>
      </c>
      <c r="AQ38" s="73">
        <v>465694.12</v>
      </c>
      <c r="AR38" s="73">
        <v>797620.84</v>
      </c>
      <c r="AS38" s="73">
        <f t="shared" ref="AS38:AX38" si="28">AR38+AR58-AR117</f>
        <v>775620.84</v>
      </c>
      <c r="AT38" s="73">
        <f t="shared" si="28"/>
        <v>716226.84</v>
      </c>
      <c r="AU38" s="73">
        <f t="shared" si="28"/>
        <v>681938.84</v>
      </c>
      <c r="AV38" s="73">
        <f t="shared" si="28"/>
        <v>635256.84</v>
      </c>
      <c r="AW38" s="73">
        <f t="shared" si="28"/>
        <v>601180.84</v>
      </c>
      <c r="AX38" s="73">
        <f t="shared" si="28"/>
        <v>567210.84</v>
      </c>
      <c r="AY38" s="73"/>
    </row>
    <row r="39" spans="1:59" ht="15.75" hidden="1" customHeight="1" x14ac:dyDescent="0.25">
      <c r="A39" s="71" t="s">
        <v>217</v>
      </c>
      <c r="B39" s="19"/>
      <c r="C39" s="73"/>
      <c r="D39" s="73"/>
      <c r="E39" s="73"/>
      <c r="F39" s="73"/>
      <c r="G39" s="73"/>
      <c r="H39" s="73"/>
      <c r="I39" s="73"/>
      <c r="J39" s="73">
        <v>1359560</v>
      </c>
      <c r="K39" s="73">
        <f t="shared" ref="K39:Q39" si="29">J39</f>
        <v>1359560</v>
      </c>
      <c r="L39" s="73">
        <f t="shared" si="29"/>
        <v>1359560</v>
      </c>
      <c r="M39" s="73">
        <f t="shared" si="29"/>
        <v>1359560</v>
      </c>
      <c r="N39" s="73"/>
      <c r="O39" s="73">
        <f t="shared" si="29"/>
        <v>0</v>
      </c>
      <c r="P39" s="73">
        <f t="shared" si="29"/>
        <v>0</v>
      </c>
      <c r="Q39" s="73">
        <f t="shared" si="29"/>
        <v>0</v>
      </c>
      <c r="R39" s="73">
        <f>Q39</f>
        <v>0</v>
      </c>
      <c r="S39" s="73">
        <f>R39</f>
        <v>0</v>
      </c>
      <c r="T39" s="73">
        <f>S39</f>
        <v>0</v>
      </c>
      <c r="U39" s="73">
        <v>-248094</v>
      </c>
      <c r="V39" s="73">
        <v>-515644.03</v>
      </c>
      <c r="W39" s="73">
        <f>-232662-55617</f>
        <v>-288279</v>
      </c>
      <c r="X39" s="73">
        <v>-216786.82</v>
      </c>
      <c r="Y39" s="73">
        <v>0</v>
      </c>
      <c r="Z39" s="73">
        <f>-651721.57</f>
        <v>-651721.56999999995</v>
      </c>
      <c r="AA39" s="73">
        <f>-348325-5</f>
        <v>-348330</v>
      </c>
      <c r="AB39" s="73">
        <f>-314144.73</f>
        <v>-314144.73</v>
      </c>
      <c r="AC39" s="73">
        <v>268485</v>
      </c>
      <c r="AD39" s="73">
        <v>294288</v>
      </c>
      <c r="AE39" s="73">
        <f>228158</f>
        <v>228158</v>
      </c>
      <c r="AF39" s="73">
        <v>111375</v>
      </c>
      <c r="AG39" s="73">
        <v>3355</v>
      </c>
      <c r="AH39" s="73">
        <f>-208089.3-280000</f>
        <v>-488089.3</v>
      </c>
      <c r="AI39" s="73">
        <v>44893</v>
      </c>
      <c r="AJ39" s="73">
        <f>-501778</f>
        <v>-501778</v>
      </c>
      <c r="AK39" s="73">
        <f>-249000-194928.95</f>
        <v>-443928.95</v>
      </c>
      <c r="AL39" s="73">
        <f>32500-276952.17</f>
        <v>-244452.16999999998</v>
      </c>
      <c r="AM39" s="73">
        <v>50986.11</v>
      </c>
      <c r="AN39" s="73">
        <v>0</v>
      </c>
      <c r="AO39" s="73">
        <f>221044+175000</f>
        <v>396044</v>
      </c>
      <c r="AP39" s="73">
        <v>0</v>
      </c>
      <c r="AQ39" s="73">
        <v>0</v>
      </c>
      <c r="AR39" s="73">
        <v>0</v>
      </c>
      <c r="AS39" s="73">
        <v>-207500</v>
      </c>
      <c r="AT39" s="73">
        <v>0</v>
      </c>
      <c r="AU39" s="73">
        <v>0</v>
      </c>
      <c r="AV39" s="73">
        <v>0</v>
      </c>
      <c r="AW39" s="73">
        <v>0</v>
      </c>
      <c r="AX39" s="73">
        <v>0</v>
      </c>
      <c r="AY39" s="73"/>
    </row>
    <row r="40" spans="1:59" ht="15.75" hidden="1" customHeight="1" x14ac:dyDescent="0.25">
      <c r="A40" s="71" t="s">
        <v>190</v>
      </c>
      <c r="B40" s="19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1">
        <v>15937.92</v>
      </c>
      <c r="Y40" s="72">
        <v>19531.73</v>
      </c>
      <c r="Z40" s="72">
        <v>32423</v>
      </c>
      <c r="AA40" s="72">
        <v>35307.06</v>
      </c>
      <c r="AB40" s="72">
        <v>37920.99</v>
      </c>
      <c r="AC40" s="72">
        <f>40722.98</f>
        <v>40722.980000000003</v>
      </c>
      <c r="AD40" s="72">
        <f>49465.9+13636.36</f>
        <v>63102.26</v>
      </c>
      <c r="AE40" s="72">
        <f>AD40</f>
        <v>63102.26</v>
      </c>
      <c r="AF40" s="72">
        <f>59372.5</f>
        <v>59372.5</v>
      </c>
      <c r="AG40" s="72">
        <f>45733.9+13638.6</f>
        <v>59372.5</v>
      </c>
      <c r="AH40" s="72">
        <f>45733.9+13638.6</f>
        <v>59372.5</v>
      </c>
      <c r="AI40" s="72">
        <v>100279.35</v>
      </c>
      <c r="AJ40" s="72">
        <f>92807.35-393.75</f>
        <v>92413.6</v>
      </c>
      <c r="AK40" s="72">
        <f>54545.45+38061.9</f>
        <v>92607.35</v>
      </c>
      <c r="AL40" s="72">
        <f>54545.45+32591.9</f>
        <v>87137.35</v>
      </c>
      <c r="AM40" s="72">
        <f>106196.39+43902.79</f>
        <v>150099.18</v>
      </c>
      <c r="AN40" s="72">
        <v>0</v>
      </c>
      <c r="AO40" s="72">
        <v>134001</v>
      </c>
      <c r="AP40" s="72">
        <f>AO40+0.5*AO56</f>
        <v>137498.30499999999</v>
      </c>
      <c r="AQ40" s="72">
        <v>181378.68</v>
      </c>
      <c r="AR40" s="72">
        <v>200000</v>
      </c>
      <c r="AS40" s="72">
        <v>200000</v>
      </c>
      <c r="AT40" s="72">
        <v>100000</v>
      </c>
      <c r="AU40" s="72">
        <v>100000</v>
      </c>
      <c r="AV40" s="72">
        <f>AU40+0.5*AU56</f>
        <v>120000</v>
      </c>
      <c r="AW40" s="72">
        <f>AV40+0.5*AV56</f>
        <v>140000</v>
      </c>
      <c r="AX40" s="72">
        <f>AW40+0.5*AW56</f>
        <v>160000</v>
      </c>
      <c r="AY40" s="72"/>
    </row>
    <row r="41" spans="1:59" s="41" customFormat="1" ht="15.75" hidden="1" customHeight="1" x14ac:dyDescent="0.25">
      <c r="A41" s="92" t="s">
        <v>178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>
        <v>428831.68</v>
      </c>
      <c r="U41" s="48">
        <v>407668.4</v>
      </c>
      <c r="V41" s="35">
        <v>407688.4</v>
      </c>
      <c r="W41" s="35">
        <v>354169.4</v>
      </c>
      <c r="X41" s="35">
        <v>354169.4</v>
      </c>
      <c r="Y41" s="35">
        <v>310397.40000000002</v>
      </c>
      <c r="Z41" s="35">
        <v>310397.40000000002</v>
      </c>
      <c r="AA41" s="35">
        <v>310397.40000000002</v>
      </c>
      <c r="AB41" s="35">
        <v>310397.40000000002</v>
      </c>
      <c r="AC41" s="35">
        <v>310397.40000000002</v>
      </c>
      <c r="AD41" s="35">
        <f>AC41</f>
        <v>310397.40000000002</v>
      </c>
      <c r="AE41" s="35">
        <f t="shared" ref="AE41:AG41" si="30">AD41</f>
        <v>310397.40000000002</v>
      </c>
      <c r="AF41" s="35">
        <f t="shared" si="30"/>
        <v>310397.40000000002</v>
      </c>
      <c r="AG41" s="35">
        <f t="shared" si="30"/>
        <v>310397.40000000002</v>
      </c>
      <c r="AH41" s="35">
        <v>310397.40000000002</v>
      </c>
      <c r="AI41" s="35">
        <v>632968.59</v>
      </c>
      <c r="AJ41" s="35">
        <v>310397.40000000002</v>
      </c>
      <c r="AK41" s="35">
        <f>AJ41-AJ116</f>
        <v>310397.40000000002</v>
      </c>
      <c r="AL41" s="35">
        <f>AK41-AK116</f>
        <v>310397.40000000002</v>
      </c>
      <c r="AM41" s="35">
        <f>AL41-AL116</f>
        <v>310397.40000000002</v>
      </c>
      <c r="AN41" s="35">
        <f>AM41-AM116</f>
        <v>310397.40000000002</v>
      </c>
      <c r="AO41" s="35">
        <f t="shared" ref="AO41:AX41" si="31">AN41+AN53-AN116</f>
        <v>310397.40000000002</v>
      </c>
      <c r="AP41" s="35">
        <f t="shared" si="31"/>
        <v>310397.40000000002</v>
      </c>
      <c r="AQ41" s="35">
        <f t="shared" si="31"/>
        <v>310397.40000000002</v>
      </c>
      <c r="AR41" s="35">
        <v>0</v>
      </c>
      <c r="AS41" s="35">
        <f t="shared" si="31"/>
        <v>0</v>
      </c>
      <c r="AT41" s="35">
        <f t="shared" si="31"/>
        <v>0</v>
      </c>
      <c r="AU41" s="35">
        <f t="shared" si="31"/>
        <v>0</v>
      </c>
      <c r="AV41" s="35">
        <f t="shared" si="31"/>
        <v>0</v>
      </c>
      <c r="AW41" s="35">
        <f t="shared" si="31"/>
        <v>0</v>
      </c>
      <c r="AX41" s="35">
        <f t="shared" si="31"/>
        <v>0</v>
      </c>
      <c r="AY41" s="35"/>
    </row>
    <row r="42" spans="1:59" s="20" customFormat="1" ht="15.75" hidden="1" customHeight="1" x14ac:dyDescent="0.25">
      <c r="A42" s="71" t="s">
        <v>188</v>
      </c>
      <c r="B42" s="19"/>
      <c r="C42" s="42"/>
      <c r="D42" s="42"/>
      <c r="E42" s="42"/>
      <c r="F42" s="42"/>
      <c r="G42" s="42"/>
      <c r="H42" s="42"/>
      <c r="I42" s="42"/>
      <c r="J42" s="42" t="e">
        <f>5669929.1-#REF!-J39-#REF!</f>
        <v>#REF!</v>
      </c>
      <c r="K42" s="73" t="e">
        <f>6069929-#REF!-K39-#REF!</f>
        <v>#REF!</v>
      </c>
      <c r="L42" s="73" t="e">
        <f>5920985.45-#REF!-L28-L29-L39-#REF!-L33-L34-L35-22296</f>
        <v>#REF!</v>
      </c>
      <c r="M42" s="73" t="e">
        <f>L131-M18-M24-M21-#REF!-M28-M29-M39-#REF!-M33-M34-M35</f>
        <v>#REF!</v>
      </c>
      <c r="N42" s="73">
        <v>25023.200000000001</v>
      </c>
      <c r="O42" s="73">
        <f>4746523.28-SUM(O28:O37)</f>
        <v>-265674.99999999907</v>
      </c>
      <c r="P42" s="73" t="e">
        <f>4746523.28-P28-P29-P39-#REF!-P33-P34-P35-P36-P37</f>
        <v>#REF!</v>
      </c>
      <c r="Q42" s="73" t="e">
        <f>4747317.15-Q28-Q29-Q39-#REF!-Q33-Q34-Q35-Q36-Q37</f>
        <v>#REF!</v>
      </c>
      <c r="R42" s="73" t="e">
        <f>4748034.99-R28-R29-R39-#REF!-R33-R34-R35-R36-R37</f>
        <v>#REF!</v>
      </c>
      <c r="S42" s="73" t="e">
        <f>4448907.53-S28-S29-S39-#REF!-S33-S34-S35-S36-S37</f>
        <v>#REF!</v>
      </c>
      <c r="T42" s="73" t="e">
        <f>4604818.94-T38-T41-T37-T36-T35-T34-T33-#REF!-T29-T28</f>
        <v>#REF!</v>
      </c>
      <c r="U42" s="73" t="e">
        <f>4522513.81-U38-U41-U37-U36-U35-U34-U33-#REF!-U39-U29-U28</f>
        <v>#REF!</v>
      </c>
      <c r="V42" s="73" t="e">
        <f>3873327.15-V28-V29-V39-#REF!-V33-V34-V35-V36-V37-V41-V38</f>
        <v>#REF!</v>
      </c>
      <c r="W42" s="73" t="e">
        <f>5056376-W24-W28-W29-W39-#REF!-W33-W34-W35-W36-W37-W41-W38</f>
        <v>#REF!</v>
      </c>
      <c r="X42" s="73" t="e">
        <f>4592880.05+400000+15937.02-X24-X21-#REF!-X28-X29-X39-#REF!-X33-X34-X35-X36-X37-X41-X38-X40</f>
        <v>#REF!</v>
      </c>
      <c r="Y42" s="73" t="e">
        <f>4559124.48+400000-#REF!-Y24-Y28-Y29-Y39-#REF!-Y33-Y34-Y35-Y36-Y37-Y41-Y38-Y40</f>
        <v>#REF!</v>
      </c>
      <c r="Z42" s="73" t="e">
        <f>4306805.32-#REF!-Z24-Z28-Z29-Z39-#REF!-Z33-Z34-Z35-Z36-Z37-Z41-Z38-Z40</f>
        <v>#REF!</v>
      </c>
      <c r="AA42" s="73" t="e">
        <f>4364323.7-#REF!-AA24-AA28-AA29-AA39-#REF!-AA33-AA34-AA35-AA36-AA37-AA41-AA38-AA40</f>
        <v>#REF!</v>
      </c>
      <c r="AB42" s="73" t="e">
        <f>4734588.23-#REF!-AB24-AB28-AB29-AB39-#REF!-AB33-AB34-AB35-AB36-AB37-AB41-AB38-AB40</f>
        <v>#REF!</v>
      </c>
      <c r="AC42" s="73">
        <f>5424816.3-SUM(AC24:AC40)</f>
        <v>452800.65999999922</v>
      </c>
      <c r="AD42" s="73">
        <f>3705274.25-SUM(AD28:AD40)</f>
        <v>367808.78000000026</v>
      </c>
      <c r="AE42" s="73">
        <f>3598664.94-SUM(AE28:AE40)</f>
        <v>373768.97999999952</v>
      </c>
      <c r="AF42" s="73">
        <f>3369468.55-SUM(AF28:AF40)</f>
        <v>359320.04999999981</v>
      </c>
      <c r="AG42" s="73">
        <f>3121682.05-SUM(AG28:AG40)</f>
        <v>376311.19999999972</v>
      </c>
      <c r="AH42" s="73">
        <f>2675331.43-SUM(AH28:AH40)</f>
        <v>385160.06999999983</v>
      </c>
      <c r="AI42" s="73">
        <f>3419729-SUM(AI28:AI40)</f>
        <v>707821.99000000022</v>
      </c>
      <c r="AJ42" s="73">
        <f>2797028.22-SUM(AJ28:AJ40)</f>
        <v>-1065685.29</v>
      </c>
      <c r="AK42" s="73">
        <f>103040.74+7143.6</f>
        <v>110184.34000000001</v>
      </c>
      <c r="AL42" s="73">
        <v>115000</v>
      </c>
      <c r="AM42" s="73">
        <v>3677.41</v>
      </c>
      <c r="AN42" s="73">
        <v>-77624.52</v>
      </c>
      <c r="AO42" s="73">
        <v>2227</v>
      </c>
      <c r="AP42" s="73">
        <v>50000</v>
      </c>
      <c r="AQ42" s="73">
        <f>50000+14923.87</f>
        <v>64923.87</v>
      </c>
      <c r="AR42" s="73">
        <v>0</v>
      </c>
      <c r="AS42" s="73">
        <v>10000</v>
      </c>
      <c r="AT42" s="73">
        <v>0</v>
      </c>
      <c r="AU42" s="73">
        <v>0</v>
      </c>
      <c r="AV42" s="73">
        <v>0</v>
      </c>
      <c r="AW42" s="73">
        <v>0</v>
      </c>
      <c r="AX42" s="73">
        <v>0</v>
      </c>
      <c r="AY42" s="73"/>
    </row>
    <row r="43" spans="1:59" s="20" customFormat="1" ht="15.75" customHeight="1" x14ac:dyDescent="0.25">
      <c r="A43" s="71" t="s">
        <v>231</v>
      </c>
      <c r="B43" s="19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>
        <f>+AM39+AM40+AM42</f>
        <v>204762.69999999998</v>
      </c>
      <c r="AN43" s="73">
        <f t="shared" ref="AN43:AP43" si="32">+AN39+AN40+AN42</f>
        <v>-77624.52</v>
      </c>
      <c r="AO43" s="73">
        <f t="shared" si="32"/>
        <v>532272</v>
      </c>
      <c r="AP43" s="73">
        <f t="shared" si="32"/>
        <v>187498.30499999999</v>
      </c>
      <c r="AQ43" s="73">
        <f>+AQ39+AQ40+AQ42+AQ41</f>
        <v>556699.94999999995</v>
      </c>
      <c r="AR43" s="73">
        <f t="shared" ref="AR43:AW43" si="33">+AR39+AR40+AR42+AR41</f>
        <v>200000</v>
      </c>
      <c r="AS43" s="73">
        <f t="shared" si="33"/>
        <v>2500</v>
      </c>
      <c r="AT43" s="73">
        <f t="shared" si="33"/>
        <v>100000</v>
      </c>
      <c r="AU43" s="73">
        <f t="shared" si="33"/>
        <v>100000</v>
      </c>
      <c r="AV43" s="73">
        <f t="shared" si="33"/>
        <v>120000</v>
      </c>
      <c r="AW43" s="73">
        <f t="shared" si="33"/>
        <v>140000</v>
      </c>
      <c r="AX43" s="73">
        <f t="shared" ref="AX43" si="34">+AX39+AX40+AX42+AX41</f>
        <v>160000</v>
      </c>
      <c r="AY43" s="73"/>
    </row>
    <row r="44" spans="1:59" ht="15.75" customHeight="1" x14ac:dyDescent="0.25">
      <c r="A44" s="71" t="s">
        <v>154</v>
      </c>
      <c r="B44" s="19"/>
      <c r="C44" s="1"/>
      <c r="D44" s="1"/>
      <c r="E44" s="1"/>
      <c r="F44" s="37"/>
      <c r="G44" s="37" t="e">
        <f t="shared" ref="G44:AD44" si="35">SUM(G18:G42)</f>
        <v>#REF!</v>
      </c>
      <c r="H44" s="37" t="e">
        <f t="shared" si="35"/>
        <v>#REF!</v>
      </c>
      <c r="I44" s="37" t="e">
        <f t="shared" si="35"/>
        <v>#REF!</v>
      </c>
      <c r="J44" s="37" t="e">
        <f t="shared" si="35"/>
        <v>#REF!</v>
      </c>
      <c r="K44" s="37" t="e">
        <f t="shared" si="35"/>
        <v>#REF!</v>
      </c>
      <c r="L44" s="37" t="e">
        <f t="shared" si="35"/>
        <v>#REF!</v>
      </c>
      <c r="M44" s="37" t="e">
        <f t="shared" si="35"/>
        <v>#REF!</v>
      </c>
      <c r="N44" s="37">
        <f t="shared" si="35"/>
        <v>6825767.6000000006</v>
      </c>
      <c r="O44" s="37">
        <f t="shared" si="35"/>
        <v>6112756.96</v>
      </c>
      <c r="P44" s="37" t="e">
        <f t="shared" si="35"/>
        <v>#REF!</v>
      </c>
      <c r="Q44" s="37" t="e">
        <f t="shared" si="35"/>
        <v>#REF!</v>
      </c>
      <c r="R44" s="37" t="e">
        <f t="shared" si="35"/>
        <v>#REF!</v>
      </c>
      <c r="S44" s="37" t="e">
        <f t="shared" si="35"/>
        <v>#REF!</v>
      </c>
      <c r="T44" s="37" t="e">
        <f t="shared" si="35"/>
        <v>#REF!</v>
      </c>
      <c r="U44" s="37" t="e">
        <f t="shared" si="35"/>
        <v>#REF!</v>
      </c>
      <c r="V44" s="37" t="e">
        <f t="shared" si="35"/>
        <v>#REF!</v>
      </c>
      <c r="W44" s="37" t="e">
        <f t="shared" si="35"/>
        <v>#REF!</v>
      </c>
      <c r="X44" s="37" t="e">
        <f t="shared" si="35"/>
        <v>#REF!</v>
      </c>
      <c r="Y44" s="37" t="e">
        <f t="shared" si="35"/>
        <v>#REF!</v>
      </c>
      <c r="Z44" s="37" t="e">
        <f t="shared" si="35"/>
        <v>#REF!</v>
      </c>
      <c r="AA44" s="37" t="e">
        <f t="shared" si="35"/>
        <v>#REF!</v>
      </c>
      <c r="AB44" s="37" t="e">
        <f>SUM(AB18:AB42)</f>
        <v>#REF!</v>
      </c>
      <c r="AC44" s="37">
        <f>SUM(AC18:AC42)</f>
        <v>5859180.7800000003</v>
      </c>
      <c r="AD44" s="37">
        <f t="shared" si="35"/>
        <v>5909348.7699999996</v>
      </c>
      <c r="AE44" s="37">
        <f t="shared" ref="AE44:AH44" si="36">SUM(AE18:AE42)</f>
        <v>5893389.5999999987</v>
      </c>
      <c r="AF44" s="37">
        <f t="shared" si="36"/>
        <v>5786643.8400000008</v>
      </c>
      <c r="AG44" s="37">
        <f t="shared" si="36"/>
        <v>5632066.1800000016</v>
      </c>
      <c r="AH44" s="37">
        <f t="shared" si="36"/>
        <v>5247129.7400000021</v>
      </c>
      <c r="AI44" s="37">
        <f>SUM(AI18:AI23)+SUM(AI26:AI42)</f>
        <v>6411978.9599999981</v>
      </c>
      <c r="AJ44" s="37">
        <f>SUM(AJ18:AJ23)+SUM(AJ26:AJ42)</f>
        <v>5546194.6900000004</v>
      </c>
      <c r="AK44" s="37">
        <f>SUM(AK18:AK23)+SUM(AK26:AK42)</f>
        <v>6813501</v>
      </c>
      <c r="AL44" s="37">
        <f>SUM(AL18:AL23)+SUM(AL26:AL42)</f>
        <v>7245515.1466666656</v>
      </c>
      <c r="AM44" s="37">
        <f>SUM(AM18:AM23)+SUM(AM26:AM42)+AM43-AM39-AM40-AM42</f>
        <v>7310164.8500000006</v>
      </c>
      <c r="AN44" s="37">
        <f>SUM(AN18:AN23)+SUM(AN26:AN42)+AN43-AN39-AN40-AN42</f>
        <v>7170923.3400000017</v>
      </c>
      <c r="AO44" s="37">
        <f>SUM(AO18:AO23)+SUM(AO26:AO42)+AO43-AO39-AO40-AO42</f>
        <v>7870281.7799999993</v>
      </c>
      <c r="AP44" s="37">
        <f>SUM(AP18:AP23)+SUM(AP26:AP42)+AP43-AP39-AP40-AP42</f>
        <v>7575022.3683333332</v>
      </c>
      <c r="AQ44" s="37">
        <f>SUM(AQ18:AQ23)+SUM(AQ26:AQ42)+AQ43-AQ39-AQ40-AQ42-AQ41</f>
        <v>7882198.9999999991</v>
      </c>
      <c r="AR44" s="37">
        <f t="shared" ref="AR44:AW44" si="37">SUM(AR18:AR23)+SUM(AR26:AR42)+AR43-AR39-AR40-AR42</f>
        <v>7811794.5999999996</v>
      </c>
      <c r="AS44" s="37">
        <f t="shared" si="37"/>
        <v>7716116.8144444441</v>
      </c>
      <c r="AT44" s="37">
        <f t="shared" si="37"/>
        <v>7754006.8348148139</v>
      </c>
      <c r="AU44" s="37">
        <f t="shared" si="37"/>
        <v>7728272.8830864187</v>
      </c>
      <c r="AV44" s="37">
        <f t="shared" si="37"/>
        <v>7723535.9774485584</v>
      </c>
      <c r="AW44" s="37">
        <f t="shared" si="37"/>
        <v>7747279.3651165972</v>
      </c>
      <c r="AX44" s="37">
        <f t="shared" ref="AX44" si="38">SUM(AX18:AX23)+SUM(AX26:AX42)+AX43-AX39-AX40-AX42</f>
        <v>7733573.8752171909</v>
      </c>
      <c r="AY44" s="37"/>
    </row>
    <row r="45" spans="1:59" ht="15.75" customHeight="1" x14ac:dyDescent="0.25">
      <c r="A45" s="71"/>
      <c r="B45" s="19"/>
      <c r="C45" s="1"/>
      <c r="D45" s="1"/>
      <c r="E45" s="1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73"/>
      <c r="AR45" s="73"/>
      <c r="AS45" s="73"/>
      <c r="AT45" s="73"/>
      <c r="AU45" s="73"/>
      <c r="AV45" s="73"/>
      <c r="AW45" s="73"/>
      <c r="AX45" s="73"/>
      <c r="AY45" s="73"/>
    </row>
    <row r="46" spans="1:59" ht="15.75" hidden="1" customHeight="1" x14ac:dyDescent="0.25">
      <c r="A46" s="71" t="s">
        <v>186</v>
      </c>
      <c r="B46" s="19"/>
      <c r="C46" s="1"/>
      <c r="D46" s="1"/>
      <c r="E46" s="1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68">
        <v>0.63</v>
      </c>
      <c r="Y46" s="68">
        <v>0.63</v>
      </c>
      <c r="Z46" s="68">
        <v>0.63</v>
      </c>
      <c r="AA46" s="68">
        <v>0.63</v>
      </c>
      <c r="AB46" s="68">
        <v>0.63</v>
      </c>
      <c r="AC46" s="68">
        <v>0.57999999999999996</v>
      </c>
      <c r="AD46" s="68">
        <v>0.57999999999999996</v>
      </c>
      <c r="AE46" s="68">
        <v>0.57999999999999996</v>
      </c>
      <c r="AF46" s="68">
        <v>0.54</v>
      </c>
      <c r="AG46" s="68">
        <v>0.54</v>
      </c>
      <c r="AH46" s="68">
        <v>0.52</v>
      </c>
      <c r="AI46" s="68">
        <v>0.52</v>
      </c>
      <c r="AJ46" s="68">
        <v>0.5</v>
      </c>
      <c r="AK46" s="68">
        <v>0.5</v>
      </c>
      <c r="AL46" s="68">
        <v>0.5</v>
      </c>
      <c r="AM46" s="68">
        <v>0.4</v>
      </c>
      <c r="AN46" s="68">
        <v>0.3</v>
      </c>
      <c r="AO46" s="68">
        <v>0.2</v>
      </c>
      <c r="AP46" s="68">
        <v>0.2</v>
      </c>
      <c r="AQ46" s="83">
        <v>0.2</v>
      </c>
      <c r="AR46" s="83">
        <v>0.2</v>
      </c>
      <c r="AS46" s="83">
        <v>0.2</v>
      </c>
      <c r="AT46" s="83">
        <v>0.2</v>
      </c>
      <c r="AU46" s="83">
        <v>0.2</v>
      </c>
      <c r="AV46" s="83">
        <v>0.2</v>
      </c>
      <c r="AW46" s="83">
        <v>0.2</v>
      </c>
      <c r="AX46" s="83">
        <v>0.2</v>
      </c>
      <c r="AY46" s="83"/>
    </row>
    <row r="47" spans="1:59" ht="15.75" customHeight="1" x14ac:dyDescent="0.25">
      <c r="A47" s="71" t="s">
        <v>134</v>
      </c>
      <c r="B47" s="19"/>
      <c r="C47" s="1"/>
      <c r="D47" s="1"/>
      <c r="E47" s="1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73"/>
      <c r="AR47" s="73"/>
      <c r="AS47" s="73"/>
      <c r="AT47" s="73"/>
      <c r="AU47" s="73"/>
      <c r="AV47" s="73"/>
      <c r="AW47" s="73"/>
      <c r="AX47" s="73"/>
      <c r="AY47" s="73"/>
      <c r="AZ47" s="43"/>
      <c r="BA47" s="43"/>
      <c r="BB47" s="43"/>
      <c r="BE47" s="43"/>
      <c r="BF47" s="43"/>
      <c r="BG47" s="43"/>
    </row>
    <row r="48" spans="1:59" ht="15.75" hidden="1" customHeight="1" x14ac:dyDescent="0.25">
      <c r="A48" s="71" t="s">
        <v>132</v>
      </c>
      <c r="B48" s="19"/>
      <c r="C48" s="1"/>
      <c r="D48" s="1"/>
      <c r="E48" s="1"/>
      <c r="F48" s="19"/>
      <c r="G48" s="19">
        <v>259772.74</v>
      </c>
      <c r="H48" s="19">
        <v>0</v>
      </c>
      <c r="I48" s="19">
        <v>37848</v>
      </c>
      <c r="J48" s="19">
        <v>0</v>
      </c>
      <c r="K48" s="19">
        <v>0</v>
      </c>
      <c r="L48" s="19">
        <v>0</v>
      </c>
      <c r="M48" s="19">
        <f>5342.29</f>
        <v>5342.29</v>
      </c>
      <c r="N48" s="19">
        <v>27123</v>
      </c>
      <c r="O48" s="19">
        <v>0</v>
      </c>
      <c r="P48" s="19">
        <v>21725.32</v>
      </c>
      <c r="Q48" s="19">
        <v>42665.32</v>
      </c>
      <c r="R48" s="19">
        <v>7071.11</v>
      </c>
      <c r="S48" s="19">
        <v>4386.8</v>
      </c>
      <c r="T48" s="19">
        <v>5252.51</v>
      </c>
      <c r="U48" s="19">
        <v>5306.28</v>
      </c>
      <c r="V48" s="19">
        <v>0</v>
      </c>
      <c r="W48" s="19">
        <v>7473.07</v>
      </c>
      <c r="X48" s="19">
        <v>3945.3</v>
      </c>
      <c r="Y48" s="19">
        <v>0</v>
      </c>
      <c r="Z48" s="19">
        <f t="shared" ref="Z48:AJ48" si="39">Y48</f>
        <v>0</v>
      </c>
      <c r="AA48" s="19">
        <f t="shared" si="39"/>
        <v>0</v>
      </c>
      <c r="AB48" s="19">
        <f t="shared" si="39"/>
        <v>0</v>
      </c>
      <c r="AC48" s="19">
        <f t="shared" si="39"/>
        <v>0</v>
      </c>
      <c r="AD48" s="19">
        <f t="shared" si="39"/>
        <v>0</v>
      </c>
      <c r="AE48" s="19">
        <f t="shared" si="39"/>
        <v>0</v>
      </c>
      <c r="AF48" s="19">
        <f t="shared" si="39"/>
        <v>0</v>
      </c>
      <c r="AG48" s="19">
        <f t="shared" si="39"/>
        <v>0</v>
      </c>
      <c r="AH48" s="19">
        <f t="shared" si="39"/>
        <v>0</v>
      </c>
      <c r="AI48" s="19">
        <f t="shared" si="39"/>
        <v>0</v>
      </c>
      <c r="AJ48" s="19">
        <f t="shared" si="39"/>
        <v>0</v>
      </c>
      <c r="AK48" s="19">
        <f t="shared" ref="AK48:AX48" si="40">AJ48</f>
        <v>0</v>
      </c>
      <c r="AL48" s="19">
        <f t="shared" si="40"/>
        <v>0</v>
      </c>
      <c r="AM48" s="19">
        <f t="shared" si="40"/>
        <v>0</v>
      </c>
      <c r="AN48" s="19">
        <f t="shared" si="40"/>
        <v>0</v>
      </c>
      <c r="AO48" s="19">
        <f t="shared" si="40"/>
        <v>0</v>
      </c>
      <c r="AP48" s="19">
        <f t="shared" si="40"/>
        <v>0</v>
      </c>
      <c r="AQ48" s="73">
        <f t="shared" si="40"/>
        <v>0</v>
      </c>
      <c r="AR48" s="73">
        <f t="shared" si="40"/>
        <v>0</v>
      </c>
      <c r="AS48" s="73">
        <f t="shared" si="40"/>
        <v>0</v>
      </c>
      <c r="AT48" s="73">
        <f t="shared" si="40"/>
        <v>0</v>
      </c>
      <c r="AU48" s="73">
        <f t="shared" si="40"/>
        <v>0</v>
      </c>
      <c r="AV48" s="73">
        <f t="shared" si="40"/>
        <v>0</v>
      </c>
      <c r="AW48" s="73">
        <f t="shared" si="40"/>
        <v>0</v>
      </c>
      <c r="AX48" s="73">
        <f t="shared" si="40"/>
        <v>0</v>
      </c>
      <c r="AY48" s="73"/>
      <c r="BB48" s="43"/>
      <c r="BC48" s="43"/>
    </row>
    <row r="49" spans="1:59" ht="15.75" customHeight="1" x14ac:dyDescent="0.25">
      <c r="A49" s="71" t="s">
        <v>131</v>
      </c>
      <c r="B49" s="19"/>
      <c r="C49" s="1"/>
      <c r="D49" s="1"/>
      <c r="E49" s="1"/>
      <c r="F49" s="19"/>
      <c r="G49" s="19">
        <v>1331964</v>
      </c>
      <c r="H49" s="19">
        <v>1379905</v>
      </c>
      <c r="I49" s="19">
        <v>1327688</v>
      </c>
      <c r="J49" s="19">
        <f>952608</f>
        <v>952608</v>
      </c>
      <c r="K49" s="19">
        <v>166462</v>
      </c>
      <c r="L49" s="19">
        <f>($AY49*K101)+(70%*K96)+206943</f>
        <v>281233.37699999998</v>
      </c>
      <c r="M49" s="19">
        <f>442630.1</f>
        <v>442630.1</v>
      </c>
      <c r="N49" s="19">
        <v>693304</v>
      </c>
      <c r="O49" s="19">
        <f>($AY49*N101)+(55%*N96)</f>
        <v>57876.010500000004</v>
      </c>
      <c r="P49" s="19">
        <v>887101.1</v>
      </c>
      <c r="Q49" s="19">
        <f>($AY49*P101)+(55%*P96)</f>
        <v>47976.010500000004</v>
      </c>
      <c r="R49" s="19">
        <f>($AY49*Q101)+(55%*Q96)</f>
        <v>55286.456500000008</v>
      </c>
      <c r="S49" s="19">
        <f>($AY49*R101)+(55%*R96)</f>
        <v>50562.000500000009</v>
      </c>
      <c r="T49" s="19">
        <f>($AY49*S101)+(55%*S96)</f>
        <v>50837.000500000009</v>
      </c>
      <c r="U49" s="19">
        <v>1106166</v>
      </c>
      <c r="V49" s="19">
        <v>1297500</v>
      </c>
      <c r="W49" s="19">
        <f>($AY49*V101)</f>
        <v>0</v>
      </c>
      <c r="X49" s="19">
        <f>($AY49*W101)+(W96*AR49)</f>
        <v>0</v>
      </c>
      <c r="Y49" s="19">
        <f>($AY49*X101)+(X46*X96)</f>
        <v>63648.465299999996</v>
      </c>
      <c r="Z49" s="19">
        <v>1369843</v>
      </c>
      <c r="AA49" s="19">
        <f>($AY49*Z101)+(Z46*Z96)</f>
        <v>59868.465299999996</v>
      </c>
      <c r="AB49" s="19">
        <f>($AY49*AA101)+(AA46*AA96)</f>
        <v>55143.465299999996</v>
      </c>
      <c r="AC49" s="19">
        <f>($AY49*AB101)+(AB46*AB96)</f>
        <v>50418.465299999996</v>
      </c>
      <c r="AD49" s="19">
        <f>($AY49*AC101)+(AC46*AC96)</f>
        <v>48417.634399999995</v>
      </c>
      <c r="AE49" s="19">
        <f>($AY49*AD101)+(AD46*AD96)</f>
        <v>50584.601399999992</v>
      </c>
      <c r="AF49" s="19">
        <f>AE105+(AE46*AE96)</f>
        <v>65706.401399999988</v>
      </c>
      <c r="AG49" s="19">
        <f>AF105+(AF46*AF96)</f>
        <v>105047.04120000001</v>
      </c>
      <c r="AH49" s="19">
        <f t="shared" ref="AH49:AI49" si="41">AG105+(AG46*AG96)</f>
        <v>63840.608199999995</v>
      </c>
      <c r="AI49" s="19">
        <f t="shared" si="41"/>
        <v>62366.511599999998</v>
      </c>
      <c r="AJ49" s="19">
        <f>AI105+(AI46*AI96)</f>
        <v>55606.511599999998</v>
      </c>
      <c r="AK49" s="19">
        <v>385673.27</v>
      </c>
      <c r="AL49" s="19">
        <f t="shared" ref="AL49:AP49" si="42">AK105+(AK46*AK96)</f>
        <v>72586.89</v>
      </c>
      <c r="AM49" s="19">
        <v>92000</v>
      </c>
      <c r="AN49" s="19">
        <v>73780.210000000006</v>
      </c>
      <c r="AO49" s="19">
        <f t="shared" si="42"/>
        <v>100091.659</v>
      </c>
      <c r="AP49" s="19">
        <f t="shared" si="42"/>
        <v>246078.42600000001</v>
      </c>
      <c r="AQ49" s="73">
        <v>161000</v>
      </c>
      <c r="AR49" s="73">
        <v>0</v>
      </c>
      <c r="AS49" s="73">
        <v>100000</v>
      </c>
      <c r="AT49" s="73">
        <v>100000</v>
      </c>
      <c r="AU49" s="73">
        <v>50000</v>
      </c>
      <c r="AV49" s="73">
        <v>50000</v>
      </c>
      <c r="AW49" s="73">
        <v>50000</v>
      </c>
      <c r="AX49" s="73">
        <v>50000</v>
      </c>
      <c r="AY49" s="73"/>
      <c r="BC49" s="3"/>
    </row>
    <row r="50" spans="1:59" ht="17.25" customHeight="1" x14ac:dyDescent="0.25">
      <c r="A50" s="71" t="s">
        <v>152</v>
      </c>
      <c r="B50" s="19"/>
      <c r="C50" s="1"/>
      <c r="D50" s="1"/>
      <c r="E50" s="1"/>
      <c r="F50" s="19"/>
      <c r="G50" s="19">
        <v>47898.49</v>
      </c>
      <c r="H50" s="19">
        <v>52171.03</v>
      </c>
      <c r="I50" s="19">
        <v>53037.86</v>
      </c>
      <c r="J50" s="19">
        <v>57878.67</v>
      </c>
      <c r="K50" s="19">
        <f>J50+($AZ49*$BB49)</f>
        <v>57878.67</v>
      </c>
      <c r="L50" s="19">
        <f>59698.64</f>
        <v>59698.64</v>
      </c>
      <c r="M50" s="19">
        <f>62726.16</f>
        <v>62726.16</v>
      </c>
      <c r="N50" s="19">
        <v>66827</v>
      </c>
      <c r="O50" s="19">
        <v>60128.739999999976</v>
      </c>
      <c r="P50" s="19">
        <f>O50+(O101*$BB49)</f>
        <v>60128.739999999976</v>
      </c>
      <c r="Q50" s="19">
        <v>66783.94</v>
      </c>
      <c r="R50" s="19">
        <f>Q50+(Q101*$BB49)</f>
        <v>66783.94</v>
      </c>
      <c r="S50" s="19">
        <v>67869.500000000262</v>
      </c>
      <c r="T50" s="19">
        <v>70038</v>
      </c>
      <c r="U50" s="19">
        <v>70037.56</v>
      </c>
      <c r="V50" s="19">
        <v>72457.119999999995</v>
      </c>
      <c r="W50" s="19">
        <v>77028.759999999995</v>
      </c>
      <c r="X50" s="19">
        <v>81374.16</v>
      </c>
      <c r="Y50" s="19">
        <v>77541.45</v>
      </c>
      <c r="Z50" s="19">
        <v>80922.37</v>
      </c>
      <c r="AA50" s="19">
        <f>Z50+(Y101*$BB49)</f>
        <v>80922.37</v>
      </c>
      <c r="AB50" s="19">
        <f>AA50+(Z101*$BB49)</f>
        <v>80922.37</v>
      </c>
      <c r="AC50" s="19">
        <v>90000</v>
      </c>
      <c r="AD50" s="19">
        <v>81489.289999999994</v>
      </c>
      <c r="AE50" s="19">
        <f>AD50+(AC101*$BB49)</f>
        <v>81489.289999999994</v>
      </c>
      <c r="AF50" s="19">
        <v>88056</v>
      </c>
      <c r="AG50" s="19">
        <v>85976.14</v>
      </c>
      <c r="AH50" s="19">
        <v>93012.5</v>
      </c>
      <c r="AI50" s="19">
        <f>AH50+(AG101*$BB49)-5500</f>
        <v>87512.5</v>
      </c>
      <c r="AJ50" s="19">
        <v>83903.59</v>
      </c>
      <c r="AK50" s="19">
        <v>95734.28</v>
      </c>
      <c r="AL50" s="19">
        <v>93377.09</v>
      </c>
      <c r="AM50" s="19">
        <v>93377</v>
      </c>
      <c r="AN50" s="19">
        <v>94160.53</v>
      </c>
      <c r="AO50" s="19">
        <v>89397.45</v>
      </c>
      <c r="AP50" s="19">
        <f>AO50+(AN101*$BB49)</f>
        <v>89397.45</v>
      </c>
      <c r="AQ50" s="73">
        <v>100440.36</v>
      </c>
      <c r="AR50" s="73">
        <v>94470</v>
      </c>
      <c r="AS50" s="73">
        <f t="shared" ref="AS50:AX50" si="43">AR50+(AQ101*$BB49)</f>
        <v>94470</v>
      </c>
      <c r="AT50" s="73">
        <f t="shared" si="43"/>
        <v>94470</v>
      </c>
      <c r="AU50" s="73">
        <f t="shared" si="43"/>
        <v>94470</v>
      </c>
      <c r="AV50" s="73">
        <f t="shared" si="43"/>
        <v>94470</v>
      </c>
      <c r="AW50" s="73">
        <f t="shared" si="43"/>
        <v>94470</v>
      </c>
      <c r="AX50" s="73">
        <f t="shared" si="43"/>
        <v>94470</v>
      </c>
      <c r="AY50" s="73"/>
      <c r="BC50" s="3"/>
    </row>
    <row r="51" spans="1:59" ht="17.25" customHeight="1" x14ac:dyDescent="0.25">
      <c r="A51" s="71" t="s">
        <v>228</v>
      </c>
      <c r="B51" s="19"/>
      <c r="C51" s="1"/>
      <c r="D51" s="1"/>
      <c r="E51" s="1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>
        <v>0</v>
      </c>
      <c r="AM51" s="19">
        <v>0</v>
      </c>
      <c r="AN51" s="19">
        <v>0</v>
      </c>
      <c r="AO51" s="19">
        <v>0</v>
      </c>
      <c r="AP51" s="19">
        <v>0</v>
      </c>
      <c r="AQ51" s="73">
        <v>0</v>
      </c>
      <c r="AR51" s="73">
        <v>0</v>
      </c>
      <c r="AS51" s="73">
        <v>0</v>
      </c>
      <c r="AT51" s="73">
        <v>0</v>
      </c>
      <c r="AU51" s="73">
        <v>0</v>
      </c>
      <c r="AV51" s="73">
        <v>0</v>
      </c>
      <c r="AW51" s="73">
        <v>0</v>
      </c>
      <c r="AX51" s="73">
        <v>0</v>
      </c>
      <c r="AY51" s="73"/>
      <c r="BC51" s="3"/>
    </row>
    <row r="52" spans="1:59" ht="17.25" customHeight="1" x14ac:dyDescent="0.25">
      <c r="A52" s="71" t="s">
        <v>229</v>
      </c>
      <c r="B52" s="19"/>
      <c r="C52" s="1"/>
      <c r="D52" s="1"/>
      <c r="E52" s="1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73">
        <v>0</v>
      </c>
      <c r="AR52" s="73">
        <v>0</v>
      </c>
      <c r="AS52" s="73">
        <v>0</v>
      </c>
      <c r="AT52" s="73">
        <v>0</v>
      </c>
      <c r="AU52" s="73">
        <v>0</v>
      </c>
      <c r="AV52" s="73">
        <v>20000</v>
      </c>
      <c r="AW52" s="73">
        <v>0</v>
      </c>
      <c r="AX52" s="73">
        <v>20000</v>
      </c>
      <c r="AY52" s="73"/>
      <c r="BC52" s="3"/>
    </row>
    <row r="53" spans="1:59" ht="15.75" customHeight="1" x14ac:dyDescent="0.25">
      <c r="A53" s="71" t="s">
        <v>158</v>
      </c>
      <c r="B53" s="19"/>
      <c r="C53" s="1"/>
      <c r="D53" s="1"/>
      <c r="E53" s="1"/>
      <c r="F53" s="19"/>
      <c r="G53" s="19"/>
      <c r="H53" s="19"/>
      <c r="I53" s="19"/>
      <c r="J53" s="72">
        <f>672212</f>
        <v>672212</v>
      </c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>
        <v>17687.009999999998</v>
      </c>
      <c r="V53" s="19">
        <f>1118</f>
        <v>1118</v>
      </c>
      <c r="W53" s="19">
        <f>V53</f>
        <v>1118</v>
      </c>
      <c r="X53" s="19">
        <f>W53+(50*W102)</f>
        <v>1118</v>
      </c>
      <c r="Y53" s="19">
        <f t="shared" ref="Y53:Z53" si="44">X53+26.04+(50*X102)</f>
        <v>1194.04</v>
      </c>
      <c r="Z53" s="19">
        <f t="shared" si="44"/>
        <v>1270.08</v>
      </c>
      <c r="AA53" s="19">
        <f>Z53+26.04+(50*Z102)</f>
        <v>1346.12</v>
      </c>
      <c r="AB53" s="19"/>
      <c r="AC53" s="73">
        <v>895</v>
      </c>
      <c r="AD53" s="73">
        <f>930.61</f>
        <v>930.61</v>
      </c>
      <c r="AE53" s="19">
        <f>AD53</f>
        <v>930.61</v>
      </c>
      <c r="AF53" s="19">
        <f>AE53</f>
        <v>930.61</v>
      </c>
      <c r="AG53" s="19">
        <f>AF53+363500</f>
        <v>364430.61</v>
      </c>
      <c r="AH53" s="19">
        <f>2154.94+363512</f>
        <v>365666.94</v>
      </c>
      <c r="AI53" s="19">
        <v>396</v>
      </c>
      <c r="AJ53" s="19">
        <f t="shared" ref="AJ53" si="45">AI53</f>
        <v>396</v>
      </c>
      <c r="AK53" s="19">
        <v>0</v>
      </c>
      <c r="AL53" s="19">
        <v>0</v>
      </c>
      <c r="AM53" s="19">
        <f t="shared" ref="AM53:AX53" si="46">AL53</f>
        <v>0</v>
      </c>
      <c r="AN53" s="19">
        <f t="shared" si="46"/>
        <v>0</v>
      </c>
      <c r="AO53" s="19">
        <f t="shared" si="46"/>
        <v>0</v>
      </c>
      <c r="AP53" s="19">
        <f t="shared" si="46"/>
        <v>0</v>
      </c>
      <c r="AQ53" s="73">
        <f t="shared" si="46"/>
        <v>0</v>
      </c>
      <c r="AR53" s="73">
        <f t="shared" si="46"/>
        <v>0</v>
      </c>
      <c r="AS53" s="73">
        <f t="shared" si="46"/>
        <v>0</v>
      </c>
      <c r="AT53" s="73">
        <f t="shared" si="46"/>
        <v>0</v>
      </c>
      <c r="AU53" s="73">
        <f t="shared" si="46"/>
        <v>0</v>
      </c>
      <c r="AV53" s="73">
        <f t="shared" si="46"/>
        <v>0</v>
      </c>
      <c r="AW53" s="73">
        <f t="shared" si="46"/>
        <v>0</v>
      </c>
      <c r="AX53" s="73">
        <f t="shared" si="46"/>
        <v>0</v>
      </c>
      <c r="AY53" s="73"/>
      <c r="BC53" s="3"/>
    </row>
    <row r="54" spans="1:59" ht="15.75" customHeight="1" x14ac:dyDescent="0.25">
      <c r="A54" s="71" t="s">
        <v>60</v>
      </c>
      <c r="B54" s="19"/>
      <c r="C54" s="1"/>
      <c r="D54" s="1"/>
      <c r="E54" s="1"/>
      <c r="F54" s="19"/>
      <c r="G54" s="19"/>
      <c r="H54" s="19"/>
      <c r="I54" s="19"/>
      <c r="J54" s="72">
        <f>622</f>
        <v>622</v>
      </c>
      <c r="K54" s="19">
        <v>622</v>
      </c>
      <c r="L54" s="19">
        <v>622</v>
      </c>
      <c r="M54" s="19">
        <v>622</v>
      </c>
      <c r="N54" s="19">
        <v>622</v>
      </c>
      <c r="O54" s="19">
        <f>N54</f>
        <v>622</v>
      </c>
      <c r="P54" s="19">
        <v>622</v>
      </c>
      <c r="Q54" s="19">
        <f>+(331788+P116)*(0.0225/12)</f>
        <v>622.10249999999996</v>
      </c>
      <c r="R54" s="19">
        <f>+(331788+Q116)*(0.0225/12)</f>
        <v>622.10249999999996</v>
      </c>
      <c r="S54" s="19">
        <f>622.1+225</f>
        <v>847.1</v>
      </c>
      <c r="T54" s="19">
        <v>1075.44</v>
      </c>
      <c r="U54" s="73">
        <v>1010.46</v>
      </c>
      <c r="V54" s="19">
        <f>U54</f>
        <v>1010.46</v>
      </c>
      <c r="W54" s="19">
        <f>V54</f>
        <v>1010.46</v>
      </c>
      <c r="X54" s="19">
        <v>942</v>
      </c>
      <c r="Y54" s="19" t="e">
        <f>0.00018*(SUM(Y24:Y42)+Y18)</f>
        <v>#REF!</v>
      </c>
      <c r="Z54" s="19" t="e">
        <f>0.00018*(SUM(Z24:Z42)+Z18)</f>
        <v>#REF!</v>
      </c>
      <c r="AA54" s="19" t="e">
        <f>0.00018*(SUM(AA24:AA42)+AA18)</f>
        <v>#REF!</v>
      </c>
      <c r="AB54" s="19" t="e">
        <f>0.00018*(SUM(AB24:AB42)+AB18)</f>
        <v>#REF!</v>
      </c>
      <c r="AC54" s="19">
        <v>933</v>
      </c>
      <c r="AD54" s="73">
        <v>2013</v>
      </c>
      <c r="AE54" s="19">
        <f>(AD54/AD44)*AE44</f>
        <v>2007.5635618305193</v>
      </c>
      <c r="AF54" s="19">
        <f>((AE54/AE44)*AF44)</f>
        <v>1971.2009737952906</v>
      </c>
      <c r="AG54" s="19">
        <f t="shared" ref="AG54:AJ54" si="47">(AF54/AF44)*AG44</f>
        <v>1918.5446081463904</v>
      </c>
      <c r="AH54" s="19">
        <f t="shared" si="47"/>
        <v>1787.4172904199738</v>
      </c>
      <c r="AI54" s="19">
        <f t="shared" si="47"/>
        <v>2184.2193021347084</v>
      </c>
      <c r="AJ54" s="19">
        <f t="shared" si="47"/>
        <v>1889.2927707446859</v>
      </c>
      <c r="AK54" s="19">
        <v>3400</v>
      </c>
      <c r="AL54" s="19">
        <f t="shared" ref="AL54:AX54" si="48">(AK54/AK44)*AL44</f>
        <v>3615.5790538031274</v>
      </c>
      <c r="AM54" s="19">
        <f t="shared" si="48"/>
        <v>3647.8398535495926</v>
      </c>
      <c r="AN54" s="19">
        <f t="shared" si="48"/>
        <v>3578.3570525637269</v>
      </c>
      <c r="AO54" s="19">
        <f t="shared" si="48"/>
        <v>3927.3433807377437</v>
      </c>
      <c r="AP54" s="19">
        <f t="shared" si="48"/>
        <v>3780.0062042015306</v>
      </c>
      <c r="AQ54" s="73">
        <f t="shared" si="48"/>
        <v>3933.2901837102536</v>
      </c>
      <c r="AR54" s="73">
        <v>3000</v>
      </c>
      <c r="AS54" s="73">
        <f t="shared" si="48"/>
        <v>2963.2564127240794</v>
      </c>
      <c r="AT54" s="73">
        <f t="shared" si="48"/>
        <v>2977.8074943809256</v>
      </c>
      <c r="AU54" s="73">
        <f t="shared" si="48"/>
        <v>2967.9247645936898</v>
      </c>
      <c r="AV54" s="73">
        <f t="shared" si="48"/>
        <v>2966.1056285767777</v>
      </c>
      <c r="AW54" s="73">
        <f t="shared" si="48"/>
        <v>2975.223912742124</v>
      </c>
      <c r="AX54" s="73">
        <f t="shared" si="48"/>
        <v>2969.9605293835521</v>
      </c>
      <c r="AY54" s="73"/>
      <c r="BC54" s="3"/>
    </row>
    <row r="55" spans="1:59" ht="15.75" customHeight="1" x14ac:dyDescent="0.25">
      <c r="A55" s="71" t="s">
        <v>206</v>
      </c>
      <c r="B55" s="19"/>
      <c r="C55" s="1"/>
      <c r="D55" s="1"/>
      <c r="E55" s="1"/>
      <c r="F55" s="19"/>
      <c r="G55" s="19"/>
      <c r="H55" s="19"/>
      <c r="I55" s="19"/>
      <c r="J55" s="19"/>
      <c r="K55" s="19"/>
      <c r="L55" s="19"/>
      <c r="M55" s="19"/>
      <c r="N55" s="19"/>
      <c r="O55" s="19">
        <v>0</v>
      </c>
      <c r="P55" s="19"/>
      <c r="Q55" s="19"/>
      <c r="R55" s="19"/>
      <c r="S55" s="19">
        <v>77193</v>
      </c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73"/>
      <c r="AE55" s="19"/>
      <c r="AF55" s="19"/>
      <c r="AG55" s="19">
        <f>AF104*$AW104</f>
        <v>1</v>
      </c>
      <c r="AH55" s="19">
        <v>0</v>
      </c>
      <c r="AI55" s="19">
        <f>AH104*$AW104</f>
        <v>1</v>
      </c>
      <c r="AJ55" s="19">
        <f>AI104*$AW104</f>
        <v>2</v>
      </c>
      <c r="AK55" s="19">
        <f>AK104*0.02*100000</f>
        <v>4000</v>
      </c>
      <c r="AL55" s="19">
        <f t="shared" ref="AL55:AO55" si="49">AL104*0.02*100000</f>
        <v>0</v>
      </c>
      <c r="AM55" s="19">
        <f t="shared" si="49"/>
        <v>0</v>
      </c>
      <c r="AN55" s="19">
        <f t="shared" si="49"/>
        <v>0</v>
      </c>
      <c r="AO55" s="19">
        <f t="shared" si="49"/>
        <v>0</v>
      </c>
      <c r="AP55" s="19">
        <v>0</v>
      </c>
      <c r="AQ55" s="73">
        <v>0</v>
      </c>
      <c r="AR55" s="73">
        <v>0</v>
      </c>
      <c r="AS55" s="73">
        <f t="shared" ref="AS55:AV55" si="50">AS104*0.02*100000</f>
        <v>0</v>
      </c>
      <c r="AT55" s="73">
        <f t="shared" si="50"/>
        <v>2000</v>
      </c>
      <c r="AU55" s="73">
        <f t="shared" si="50"/>
        <v>2000</v>
      </c>
      <c r="AV55" s="73">
        <f t="shared" si="50"/>
        <v>2000</v>
      </c>
      <c r="AW55" s="73">
        <f t="shared" ref="AW55" si="51">AW104*0.02*100000</f>
        <v>2000</v>
      </c>
      <c r="AX55" s="73">
        <f t="shared" ref="AX55" si="52">AX104*0.02*100000</f>
        <v>2000</v>
      </c>
      <c r="AY55" s="73"/>
      <c r="BC55" s="3"/>
    </row>
    <row r="56" spans="1:59" ht="15.75" customHeight="1" x14ac:dyDescent="0.25">
      <c r="A56" s="71" t="s">
        <v>209</v>
      </c>
      <c r="B56" s="19"/>
      <c r="C56" s="1"/>
      <c r="D56" s="1"/>
      <c r="E56" s="1"/>
      <c r="F56" s="19"/>
      <c r="G56" s="19"/>
      <c r="H56" s="19"/>
      <c r="I56" s="19"/>
      <c r="J56" s="19"/>
      <c r="K56" s="19"/>
      <c r="L56" s="19"/>
      <c r="M56" s="19"/>
      <c r="N56" s="19">
        <v>0</v>
      </c>
      <c r="O56" s="19">
        <f>291921.09</f>
        <v>291921.09000000003</v>
      </c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73"/>
      <c r="AE56" s="19"/>
      <c r="AF56" s="19"/>
      <c r="AG56" s="19"/>
      <c r="AH56" s="19"/>
      <c r="AI56" s="19">
        <v>0</v>
      </c>
      <c r="AJ56" s="73">
        <v>85000</v>
      </c>
      <c r="AK56" s="73">
        <v>61535.18</v>
      </c>
      <c r="AL56" s="73">
        <v>0</v>
      </c>
      <c r="AM56" s="73">
        <f>46818.01+43434.26</f>
        <v>90252.27</v>
      </c>
      <c r="AN56" s="73">
        <v>81358.759999999995</v>
      </c>
      <c r="AO56" s="73">
        <v>6994.61</v>
      </c>
      <c r="AP56" s="73">
        <v>0</v>
      </c>
      <c r="AQ56" s="73">
        <v>38000</v>
      </c>
      <c r="AR56" s="73">
        <v>70000</v>
      </c>
      <c r="AS56" s="73">
        <v>45000</v>
      </c>
      <c r="AT56" s="73">
        <v>40000</v>
      </c>
      <c r="AU56" s="73">
        <v>40000</v>
      </c>
      <c r="AV56" s="73">
        <v>40000</v>
      </c>
      <c r="AW56" s="73">
        <v>40000</v>
      </c>
      <c r="AX56" s="73">
        <v>40000</v>
      </c>
      <c r="AY56" s="73"/>
      <c r="BC56" s="3"/>
    </row>
    <row r="57" spans="1:59" hidden="1" x14ac:dyDescent="0.25">
      <c r="A57" s="71"/>
      <c r="B57" s="19"/>
      <c r="C57" s="1"/>
      <c r="D57" s="1"/>
      <c r="E57" s="1"/>
      <c r="F57" s="19"/>
      <c r="G57" s="19"/>
      <c r="H57" s="19">
        <v>5076389.5599999996</v>
      </c>
      <c r="I57" s="19"/>
      <c r="J57" s="19"/>
      <c r="K57" s="19"/>
      <c r="L57" s="19"/>
      <c r="M57" s="19"/>
      <c r="N57" s="19"/>
      <c r="O57" s="19">
        <v>11351.65</v>
      </c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73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48"/>
      <c r="AR57" s="73"/>
      <c r="AS57" s="73"/>
      <c r="AT57" s="73"/>
      <c r="AU57" s="73"/>
      <c r="AV57" s="73"/>
      <c r="AW57" s="73"/>
      <c r="AX57" s="73"/>
      <c r="AY57" s="73"/>
      <c r="BE57" s="43"/>
      <c r="BF57" s="43"/>
      <c r="BG57" s="43"/>
    </row>
    <row r="58" spans="1:59" ht="15.75" customHeight="1" x14ac:dyDescent="0.25">
      <c r="A58" s="71" t="s">
        <v>201</v>
      </c>
      <c r="B58" s="19"/>
      <c r="C58" s="1"/>
      <c r="D58" s="1"/>
      <c r="E58" s="1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>
        <v>0</v>
      </c>
      <c r="Y58" s="19">
        <v>23.14</v>
      </c>
      <c r="Z58" s="19">
        <v>46</v>
      </c>
      <c r="AA58" s="19">
        <f>0.0325/12*SUM(Y117:Z117)</f>
        <v>80.979166666666671</v>
      </c>
      <c r="AB58" s="19">
        <f>0.0325/12*SUM(X117:AA117)</f>
        <v>104.44145833333334</v>
      </c>
      <c r="AC58" s="19">
        <v>269</v>
      </c>
      <c r="AD58" s="73">
        <f>231.17</f>
        <v>231.17</v>
      </c>
      <c r="AE58" s="19">
        <f>AD58+40</f>
        <v>271.16999999999996</v>
      </c>
      <c r="AF58" s="19">
        <f>AE58+106+450</f>
        <v>827.17</v>
      </c>
      <c r="AG58" s="19">
        <f>AF58+106+198857</f>
        <v>199790.17</v>
      </c>
      <c r="AH58" s="19">
        <f>649.1+259634</f>
        <v>260283.1</v>
      </c>
      <c r="AI58" s="19">
        <f>649+281</f>
        <v>930</v>
      </c>
      <c r="AJ58" s="19">
        <f>AI58+1000+200000</f>
        <v>201930</v>
      </c>
      <c r="AK58" s="19">
        <v>2600</v>
      </c>
      <c r="AL58" s="19">
        <f t="shared" ref="AL58:AX58" si="53">AK58+106</f>
        <v>2706</v>
      </c>
      <c r="AM58" s="19">
        <f t="shared" si="53"/>
        <v>2812</v>
      </c>
      <c r="AN58" s="19">
        <v>3605.45</v>
      </c>
      <c r="AO58" s="19">
        <f t="shared" si="53"/>
        <v>3711.45</v>
      </c>
      <c r="AP58" s="19">
        <f t="shared" si="53"/>
        <v>3817.45</v>
      </c>
      <c r="AQ58" s="73">
        <f t="shared" si="53"/>
        <v>3923.45</v>
      </c>
      <c r="AR58" s="73">
        <v>3000</v>
      </c>
      <c r="AS58" s="73">
        <f t="shared" si="53"/>
        <v>3106</v>
      </c>
      <c r="AT58" s="73">
        <f t="shared" si="53"/>
        <v>3212</v>
      </c>
      <c r="AU58" s="73">
        <f t="shared" si="53"/>
        <v>3318</v>
      </c>
      <c r="AV58" s="73">
        <f t="shared" si="53"/>
        <v>3424</v>
      </c>
      <c r="AW58" s="73">
        <f t="shared" si="53"/>
        <v>3530</v>
      </c>
      <c r="AX58" s="73">
        <f t="shared" si="53"/>
        <v>3636</v>
      </c>
      <c r="AY58" s="73"/>
    </row>
    <row r="59" spans="1:59" ht="15.75" customHeight="1" x14ac:dyDescent="0.25">
      <c r="A59" s="71" t="s">
        <v>172</v>
      </c>
      <c r="B59" s="19"/>
      <c r="C59" s="1"/>
      <c r="D59" s="1"/>
      <c r="E59" s="1"/>
      <c r="F59" s="19"/>
      <c r="G59" s="19"/>
      <c r="H59" s="19">
        <v>0</v>
      </c>
      <c r="I59" s="19">
        <v>0</v>
      </c>
      <c r="J59" s="19">
        <v>0</v>
      </c>
      <c r="K59" s="19"/>
      <c r="L59" s="19"/>
      <c r="M59" s="19"/>
      <c r="N59" s="19"/>
      <c r="O59" s="19"/>
      <c r="P59" s="19"/>
      <c r="Q59" s="19"/>
      <c r="R59" s="19"/>
      <c r="S59" s="19">
        <v>1577.93</v>
      </c>
      <c r="T59" s="19">
        <v>1577.93</v>
      </c>
      <c r="U59" s="19">
        <v>2371.8000000000002</v>
      </c>
      <c r="V59" s="19">
        <f>U59</f>
        <v>2371.8000000000002</v>
      </c>
      <c r="W59" s="19">
        <v>2700</v>
      </c>
      <c r="X59" s="19">
        <v>2900</v>
      </c>
      <c r="Y59" s="19">
        <f>X59</f>
        <v>2900</v>
      </c>
      <c r="Z59" s="19">
        <v>3100</v>
      </c>
      <c r="AA59" s="19">
        <f t="shared" ref="AA59:AG59" si="54">Z59</f>
        <v>3100</v>
      </c>
      <c r="AB59" s="19">
        <f t="shared" si="54"/>
        <v>3100</v>
      </c>
      <c r="AC59" s="19">
        <v>2802</v>
      </c>
      <c r="AD59" s="19">
        <f t="shared" si="54"/>
        <v>2802</v>
      </c>
      <c r="AE59" s="19">
        <v>2819</v>
      </c>
      <c r="AF59" s="19">
        <f t="shared" si="54"/>
        <v>2819</v>
      </c>
      <c r="AG59" s="19">
        <f t="shared" si="54"/>
        <v>2819</v>
      </c>
      <c r="AH59" s="19">
        <v>2548.15</v>
      </c>
      <c r="AI59" s="19">
        <v>3733</v>
      </c>
      <c r="AJ59" s="19">
        <f>AI59</f>
        <v>3733</v>
      </c>
      <c r="AK59" s="19">
        <v>1244.06</v>
      </c>
      <c r="AL59" s="19">
        <f t="shared" ref="AL59:AX60" si="55">AK59</f>
        <v>1244.06</v>
      </c>
      <c r="AM59" s="19">
        <f t="shared" si="55"/>
        <v>1244.06</v>
      </c>
      <c r="AN59" s="19">
        <v>6093.62</v>
      </c>
      <c r="AO59" s="19">
        <v>3866.14</v>
      </c>
      <c r="AP59" s="19">
        <f t="shared" si="55"/>
        <v>3866.14</v>
      </c>
      <c r="AQ59" s="73">
        <v>2092</v>
      </c>
      <c r="AR59" s="73">
        <v>4000</v>
      </c>
      <c r="AS59" s="73">
        <f t="shared" si="55"/>
        <v>4000</v>
      </c>
      <c r="AT59" s="73">
        <f t="shared" si="55"/>
        <v>4000</v>
      </c>
      <c r="AU59" s="73">
        <f t="shared" si="55"/>
        <v>4000</v>
      </c>
      <c r="AV59" s="73">
        <f t="shared" si="55"/>
        <v>4000</v>
      </c>
      <c r="AW59" s="73">
        <f t="shared" si="55"/>
        <v>4000</v>
      </c>
      <c r="AX59" s="73">
        <f t="shared" si="55"/>
        <v>4000</v>
      </c>
      <c r="AY59" s="73"/>
    </row>
    <row r="60" spans="1:59" ht="15.75" customHeight="1" x14ac:dyDescent="0.25">
      <c r="A60" s="71" t="s">
        <v>215</v>
      </c>
      <c r="B60" s="19"/>
      <c r="C60" s="1"/>
      <c r="D60" s="1"/>
      <c r="E60" s="1"/>
      <c r="F60" s="19">
        <v>0</v>
      </c>
      <c r="G60" s="19">
        <v>0</v>
      </c>
      <c r="H60" s="19">
        <v>0</v>
      </c>
      <c r="I60" s="19">
        <v>0</v>
      </c>
      <c r="J60" s="19">
        <f t="shared" ref="J60:U60" si="56">I60</f>
        <v>0</v>
      </c>
      <c r="K60" s="19">
        <f t="shared" si="56"/>
        <v>0</v>
      </c>
      <c r="L60" s="19">
        <f t="shared" si="56"/>
        <v>0</v>
      </c>
      <c r="M60" s="19">
        <f t="shared" si="56"/>
        <v>0</v>
      </c>
      <c r="N60" s="19">
        <f t="shared" si="56"/>
        <v>0</v>
      </c>
      <c r="O60" s="19">
        <f t="shared" si="56"/>
        <v>0</v>
      </c>
      <c r="P60" s="19">
        <f t="shared" si="56"/>
        <v>0</v>
      </c>
      <c r="Q60" s="19">
        <f t="shared" si="56"/>
        <v>0</v>
      </c>
      <c r="R60" s="19">
        <f t="shared" si="56"/>
        <v>0</v>
      </c>
      <c r="S60" s="19">
        <f t="shared" si="56"/>
        <v>0</v>
      </c>
      <c r="T60" s="19">
        <f t="shared" si="56"/>
        <v>0</v>
      </c>
      <c r="U60" s="19">
        <f t="shared" si="56"/>
        <v>0</v>
      </c>
      <c r="V60" s="19">
        <f>U60</f>
        <v>0</v>
      </c>
      <c r="W60" s="19">
        <f t="shared" ref="W60:AI60" si="57">V60</f>
        <v>0</v>
      </c>
      <c r="X60" s="19">
        <f t="shared" si="57"/>
        <v>0</v>
      </c>
      <c r="Y60" s="19">
        <f t="shared" si="57"/>
        <v>0</v>
      </c>
      <c r="Z60" s="19">
        <f t="shared" si="57"/>
        <v>0</v>
      </c>
      <c r="AA60" s="19">
        <f t="shared" si="57"/>
        <v>0</v>
      </c>
      <c r="AB60" s="19">
        <f t="shared" si="57"/>
        <v>0</v>
      </c>
      <c r="AC60" s="19">
        <f t="shared" si="57"/>
        <v>0</v>
      </c>
      <c r="AD60" s="19">
        <f t="shared" si="57"/>
        <v>0</v>
      </c>
      <c r="AE60" s="19">
        <f t="shared" si="57"/>
        <v>0</v>
      </c>
      <c r="AF60" s="19">
        <f t="shared" si="57"/>
        <v>0</v>
      </c>
      <c r="AG60" s="19">
        <f t="shared" si="57"/>
        <v>0</v>
      </c>
      <c r="AH60" s="19">
        <f t="shared" si="57"/>
        <v>0</v>
      </c>
      <c r="AI60" s="19">
        <f t="shared" si="57"/>
        <v>0</v>
      </c>
      <c r="AJ60" s="19">
        <v>0</v>
      </c>
      <c r="AK60" s="19">
        <v>311.66000000000003</v>
      </c>
      <c r="AL60" s="19">
        <f t="shared" si="55"/>
        <v>311.66000000000003</v>
      </c>
      <c r="AM60" s="19">
        <f t="shared" si="55"/>
        <v>311.66000000000003</v>
      </c>
      <c r="AN60" s="19">
        <v>623.30999999999995</v>
      </c>
      <c r="AO60" s="19">
        <f t="shared" si="55"/>
        <v>623.30999999999995</v>
      </c>
      <c r="AP60" s="19">
        <f t="shared" si="55"/>
        <v>623.30999999999995</v>
      </c>
      <c r="AQ60" s="73">
        <f t="shared" si="55"/>
        <v>623.30999999999995</v>
      </c>
      <c r="AR60" s="73">
        <f t="shared" si="55"/>
        <v>623.30999999999995</v>
      </c>
      <c r="AS60" s="73">
        <f t="shared" si="55"/>
        <v>623.30999999999995</v>
      </c>
      <c r="AT60" s="73">
        <f t="shared" si="55"/>
        <v>623.30999999999995</v>
      </c>
      <c r="AU60" s="73">
        <f t="shared" si="55"/>
        <v>623.30999999999995</v>
      </c>
      <c r="AV60" s="73">
        <f t="shared" si="55"/>
        <v>623.30999999999995</v>
      </c>
      <c r="AW60" s="73">
        <f t="shared" si="55"/>
        <v>623.30999999999995</v>
      </c>
      <c r="AX60" s="73">
        <f t="shared" si="55"/>
        <v>623.30999999999995</v>
      </c>
      <c r="AY60" s="73"/>
    </row>
    <row r="61" spans="1:59" ht="15.75" hidden="1" customHeight="1" x14ac:dyDescent="0.25">
      <c r="A61" s="71" t="s">
        <v>133</v>
      </c>
      <c r="B61" s="19"/>
      <c r="C61" s="1"/>
      <c r="D61" s="1"/>
      <c r="E61" s="1"/>
      <c r="F61" s="19"/>
      <c r="G61" s="19"/>
      <c r="H61" s="48">
        <v>0</v>
      </c>
      <c r="I61" s="19">
        <v>0</v>
      </c>
      <c r="J61" s="19">
        <v>0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73"/>
      <c r="AR61" s="73"/>
      <c r="AS61" s="73"/>
      <c r="AT61" s="73"/>
      <c r="AU61" s="73"/>
      <c r="AV61" s="73"/>
      <c r="AW61" s="73"/>
      <c r="AX61" s="73"/>
      <c r="AY61" s="73"/>
    </row>
    <row r="62" spans="1:59" ht="15.75" hidden="1" customHeight="1" x14ac:dyDescent="0.25">
      <c r="A62" s="71" t="s">
        <v>105</v>
      </c>
      <c r="B62" s="19"/>
      <c r="C62" s="1"/>
      <c r="D62" s="1"/>
      <c r="E62" s="1"/>
      <c r="F62" s="19"/>
      <c r="G62" s="19"/>
      <c r="H62" s="19">
        <v>0</v>
      </c>
      <c r="I62" s="19">
        <v>0</v>
      </c>
      <c r="J62" s="19">
        <v>0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73"/>
      <c r="AR62" s="73"/>
      <c r="AS62" s="73"/>
      <c r="AT62" s="73"/>
      <c r="AU62" s="73"/>
      <c r="AV62" s="73"/>
      <c r="AW62" s="73"/>
      <c r="AX62" s="73"/>
      <c r="AY62" s="73"/>
    </row>
    <row r="63" spans="1:59" ht="15.75" hidden="1" customHeight="1" x14ac:dyDescent="0.25">
      <c r="A63" s="71" t="s">
        <v>143</v>
      </c>
      <c r="B63" s="19"/>
      <c r="C63" s="1"/>
      <c r="D63" s="1"/>
      <c r="E63" s="1"/>
      <c r="F63" s="19"/>
      <c r="G63" s="19"/>
      <c r="H63" s="19">
        <v>0</v>
      </c>
      <c r="I63" s="19">
        <v>0</v>
      </c>
      <c r="J63" s="19">
        <v>0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73"/>
      <c r="AR63" s="73"/>
      <c r="AS63" s="73"/>
      <c r="AT63" s="73"/>
      <c r="AU63" s="73"/>
      <c r="AV63" s="73"/>
      <c r="AW63" s="73"/>
      <c r="AX63" s="73"/>
      <c r="AY63" s="73"/>
    </row>
    <row r="64" spans="1:59" ht="15.75" hidden="1" customHeight="1" x14ac:dyDescent="0.25">
      <c r="A64" s="71"/>
      <c r="B64" s="19"/>
      <c r="C64" s="1"/>
      <c r="D64" s="1"/>
      <c r="E64" s="1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73"/>
      <c r="AR64" s="73"/>
      <c r="AS64" s="73"/>
      <c r="AT64" s="73"/>
      <c r="AU64" s="73"/>
      <c r="AV64" s="73"/>
      <c r="AW64" s="73"/>
      <c r="AX64" s="73"/>
      <c r="AY64" s="73"/>
    </row>
    <row r="65" spans="1:51" ht="15.75" customHeight="1" x14ac:dyDescent="0.25">
      <c r="A65" s="71" t="s">
        <v>140</v>
      </c>
      <c r="B65" s="19"/>
      <c r="C65" s="1"/>
      <c r="D65" s="1"/>
      <c r="E65" s="1"/>
      <c r="F65" s="19"/>
      <c r="G65" s="37">
        <f t="shared" ref="G65:N65" si="58">SUM(G48:G64)</f>
        <v>1639635.23</v>
      </c>
      <c r="H65" s="37">
        <f t="shared" si="58"/>
        <v>6508465.5899999999</v>
      </c>
      <c r="I65" s="37">
        <f t="shared" si="58"/>
        <v>1418573.86</v>
      </c>
      <c r="J65" s="37">
        <f t="shared" si="58"/>
        <v>1683320.67</v>
      </c>
      <c r="K65" s="37">
        <f t="shared" si="58"/>
        <v>224962.66999999998</v>
      </c>
      <c r="L65" s="37">
        <f t="shared" si="58"/>
        <v>341554.01699999999</v>
      </c>
      <c r="M65" s="37">
        <f t="shared" si="58"/>
        <v>511320.54999999993</v>
      </c>
      <c r="N65" s="37">
        <f t="shared" si="58"/>
        <v>787876</v>
      </c>
      <c r="O65" s="37">
        <f t="shared" ref="O65:AK65" si="59">SUM(O48:O64)</f>
        <v>421899.49050000001</v>
      </c>
      <c r="P65" s="37">
        <f t="shared" si="59"/>
        <v>969577.15999999992</v>
      </c>
      <c r="Q65" s="37">
        <f t="shared" si="59"/>
        <v>158047.37300000002</v>
      </c>
      <c r="R65" s="37">
        <f t="shared" si="59"/>
        <v>129763.60900000001</v>
      </c>
      <c r="S65" s="37">
        <f t="shared" si="59"/>
        <v>202436.33050000027</v>
      </c>
      <c r="T65" s="37">
        <f t="shared" si="59"/>
        <v>128780.8805</v>
      </c>
      <c r="U65" s="37">
        <f t="shared" si="59"/>
        <v>1202579.1100000001</v>
      </c>
      <c r="V65" s="37">
        <f t="shared" si="59"/>
        <v>1374457.3800000001</v>
      </c>
      <c r="W65" s="37">
        <f t="shared" si="59"/>
        <v>89330.29</v>
      </c>
      <c r="X65" s="37">
        <f t="shared" si="59"/>
        <v>90279.46</v>
      </c>
      <c r="Y65" s="37" t="e">
        <f t="shared" si="59"/>
        <v>#REF!</v>
      </c>
      <c r="Z65" s="37" t="e">
        <f t="shared" si="59"/>
        <v>#REF!</v>
      </c>
      <c r="AA65" s="37" t="e">
        <f t="shared" si="59"/>
        <v>#REF!</v>
      </c>
      <c r="AB65" s="37" t="e">
        <f t="shared" si="59"/>
        <v>#REF!</v>
      </c>
      <c r="AC65" s="37">
        <f t="shared" si="59"/>
        <v>145317.46529999998</v>
      </c>
      <c r="AD65" s="37">
        <f t="shared" si="59"/>
        <v>135883.70440000002</v>
      </c>
      <c r="AE65" s="37">
        <f t="shared" si="59"/>
        <v>138102.23496183052</v>
      </c>
      <c r="AF65" s="37">
        <f t="shared" si="59"/>
        <v>160310.38237379526</v>
      </c>
      <c r="AG65" s="37">
        <f t="shared" si="59"/>
        <v>759982.50580814644</v>
      </c>
      <c r="AH65" s="37">
        <f t="shared" si="59"/>
        <v>787138.71549041988</v>
      </c>
      <c r="AI65" s="37">
        <f t="shared" si="59"/>
        <v>157123.2309021347</v>
      </c>
      <c r="AJ65" s="37">
        <f t="shared" si="59"/>
        <v>432460.3943707447</v>
      </c>
      <c r="AK65" s="37">
        <f t="shared" si="59"/>
        <v>554498.45000000019</v>
      </c>
      <c r="AL65" s="37">
        <f>SUM(AL48:AL64)</f>
        <v>173841.2790538031</v>
      </c>
      <c r="AM65" s="37">
        <f>SUM(AM48:AM64)</f>
        <v>283644.82985354954</v>
      </c>
      <c r="AN65" s="37">
        <f>SUM(AN48:AN64)</f>
        <v>263200.23705256369</v>
      </c>
      <c r="AO65" s="37">
        <f>SUM(AO48:AO64)</f>
        <v>208611.96238073774</v>
      </c>
      <c r="AP65" s="37">
        <f t="shared" ref="AP65:AQ65" si="60">SUM(AP48:AP64)</f>
        <v>347562.78220420156</v>
      </c>
      <c r="AQ65" s="77">
        <f t="shared" si="60"/>
        <v>310012.41018371022</v>
      </c>
      <c r="AR65" s="77">
        <f t="shared" ref="AR65:AS65" si="61">SUM(AR48:AR64)</f>
        <v>175093.31</v>
      </c>
      <c r="AS65" s="77">
        <f t="shared" si="61"/>
        <v>250162.56641272409</v>
      </c>
      <c r="AT65" s="77">
        <f t="shared" ref="AT65:AV65" si="62">SUM(AT48:AT64)</f>
        <v>247283.11749438092</v>
      </c>
      <c r="AU65" s="77">
        <f t="shared" si="62"/>
        <v>197379.23476459368</v>
      </c>
      <c r="AV65" s="77">
        <f t="shared" si="62"/>
        <v>217483.41562857677</v>
      </c>
      <c r="AW65" s="77">
        <f t="shared" ref="AW65" si="63">SUM(AW48:AW64)</f>
        <v>197598.53391274213</v>
      </c>
      <c r="AX65" s="77">
        <f t="shared" ref="AX65" si="64">SUM(AX48:AX64)</f>
        <v>217699.27052938356</v>
      </c>
      <c r="AY65" s="77"/>
    </row>
    <row r="66" spans="1:51" ht="15.75" customHeight="1" x14ac:dyDescent="0.25">
      <c r="A66" s="71"/>
      <c r="B66" s="19"/>
      <c r="C66" s="1"/>
      <c r="D66" s="1"/>
      <c r="E66" s="1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73"/>
      <c r="AR66" s="73"/>
      <c r="AS66" s="73"/>
      <c r="AT66" s="73"/>
      <c r="AU66" s="73"/>
      <c r="AV66" s="73"/>
      <c r="AW66" s="73"/>
      <c r="AX66" s="73"/>
      <c r="AY66" s="73"/>
    </row>
    <row r="67" spans="1:51" ht="15.75" customHeight="1" x14ac:dyDescent="0.25">
      <c r="A67" s="71" t="s">
        <v>141</v>
      </c>
      <c r="B67" s="19"/>
      <c r="C67" s="1"/>
      <c r="D67" s="1"/>
      <c r="E67" s="1"/>
      <c r="F67" s="19"/>
      <c r="G67" s="19" t="e">
        <f t="shared" ref="G67:AK67" si="65">G44+G65</f>
        <v>#REF!</v>
      </c>
      <c r="H67" s="19" t="e">
        <f t="shared" si="65"/>
        <v>#REF!</v>
      </c>
      <c r="I67" s="19" t="e">
        <f t="shared" si="65"/>
        <v>#REF!</v>
      </c>
      <c r="J67" s="19" t="e">
        <f t="shared" si="65"/>
        <v>#REF!</v>
      </c>
      <c r="K67" s="19" t="e">
        <f t="shared" si="65"/>
        <v>#REF!</v>
      </c>
      <c r="L67" s="19" t="e">
        <f t="shared" si="65"/>
        <v>#REF!</v>
      </c>
      <c r="M67" s="19" t="e">
        <f t="shared" si="65"/>
        <v>#REF!</v>
      </c>
      <c r="N67" s="19">
        <f t="shared" si="65"/>
        <v>7613643.6000000006</v>
      </c>
      <c r="O67" s="19">
        <f t="shared" si="65"/>
        <v>6534656.4505000003</v>
      </c>
      <c r="P67" s="19" t="e">
        <f t="shared" si="65"/>
        <v>#REF!</v>
      </c>
      <c r="Q67" s="19" t="e">
        <f t="shared" si="65"/>
        <v>#REF!</v>
      </c>
      <c r="R67" s="19" t="e">
        <f t="shared" si="65"/>
        <v>#REF!</v>
      </c>
      <c r="S67" s="19" t="e">
        <f t="shared" si="65"/>
        <v>#REF!</v>
      </c>
      <c r="T67" s="19" t="e">
        <f t="shared" si="65"/>
        <v>#REF!</v>
      </c>
      <c r="U67" s="19" t="e">
        <f t="shared" si="65"/>
        <v>#REF!</v>
      </c>
      <c r="V67" s="19" t="e">
        <f t="shared" si="65"/>
        <v>#REF!</v>
      </c>
      <c r="W67" s="19" t="e">
        <f t="shared" si="65"/>
        <v>#REF!</v>
      </c>
      <c r="X67" s="19" t="e">
        <f t="shared" si="65"/>
        <v>#REF!</v>
      </c>
      <c r="Y67" s="19" t="e">
        <f t="shared" si="65"/>
        <v>#REF!</v>
      </c>
      <c r="Z67" s="19" t="e">
        <f t="shared" si="65"/>
        <v>#REF!</v>
      </c>
      <c r="AA67" s="19" t="e">
        <f t="shared" si="65"/>
        <v>#REF!</v>
      </c>
      <c r="AB67" s="19" t="e">
        <f t="shared" si="65"/>
        <v>#REF!</v>
      </c>
      <c r="AC67" s="19">
        <f>AC44+AC65</f>
        <v>6004498.2453000005</v>
      </c>
      <c r="AD67" s="19">
        <f t="shared" si="65"/>
        <v>6045232.4743999997</v>
      </c>
      <c r="AE67" s="19">
        <f t="shared" si="65"/>
        <v>6031491.8349618288</v>
      </c>
      <c r="AF67" s="19">
        <f t="shared" si="65"/>
        <v>5946954.2223737957</v>
      </c>
      <c r="AG67" s="19">
        <f t="shared" si="65"/>
        <v>6392048.6858081482</v>
      </c>
      <c r="AH67" s="19">
        <f t="shared" si="65"/>
        <v>6034268.4554904215</v>
      </c>
      <c r="AI67" s="19">
        <f t="shared" si="65"/>
        <v>6569102.1909021325</v>
      </c>
      <c r="AJ67" s="19">
        <f t="shared" si="65"/>
        <v>5978655.0843707453</v>
      </c>
      <c r="AK67" s="19">
        <f t="shared" si="65"/>
        <v>7367999.4500000002</v>
      </c>
      <c r="AL67" s="19">
        <f>AL44+AL65</f>
        <v>7419356.4257204691</v>
      </c>
      <c r="AM67" s="19">
        <f>AM44+AM65</f>
        <v>7593809.6798535502</v>
      </c>
      <c r="AN67" s="19">
        <f>AN44+AN65</f>
        <v>7434123.5770525653</v>
      </c>
      <c r="AO67" s="19">
        <f>AO44+AO65</f>
        <v>8078893.7423807373</v>
      </c>
      <c r="AP67" s="19">
        <f t="shared" ref="AP67:AQ67" si="66">AP44+AP65</f>
        <v>7922585.1505375346</v>
      </c>
      <c r="AQ67" s="73">
        <f t="shared" si="66"/>
        <v>8192211.4101837091</v>
      </c>
      <c r="AR67" s="73">
        <f t="shared" ref="AR67:AS67" si="67">AR44+AR65</f>
        <v>7986887.9099999992</v>
      </c>
      <c r="AS67" s="73">
        <f t="shared" si="67"/>
        <v>7966279.3808571678</v>
      </c>
      <c r="AT67" s="73">
        <f t="shared" ref="AT67:AV67" si="68">AT44+AT65</f>
        <v>8001289.952309195</v>
      </c>
      <c r="AU67" s="73">
        <f t="shared" si="68"/>
        <v>7925652.1178510124</v>
      </c>
      <c r="AV67" s="73">
        <f t="shared" si="68"/>
        <v>7941019.3930771351</v>
      </c>
      <c r="AW67" s="73">
        <f t="shared" ref="AW67" si="69">AW44+AW65</f>
        <v>7944877.8990293397</v>
      </c>
      <c r="AX67" s="73">
        <f t="shared" ref="AX67" si="70">AX44+AX65</f>
        <v>7951273.1457465747</v>
      </c>
      <c r="AY67" s="73"/>
    </row>
    <row r="68" spans="1:51" ht="15.75" customHeight="1" x14ac:dyDescent="0.25">
      <c r="A68" s="71"/>
      <c r="B68" s="19"/>
      <c r="C68" s="1"/>
      <c r="D68" s="1"/>
      <c r="E68" s="1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73"/>
      <c r="AR68" s="73"/>
      <c r="AS68" s="73"/>
      <c r="AT68" s="73"/>
      <c r="AU68" s="73"/>
      <c r="AV68" s="73"/>
      <c r="AW68" s="73"/>
      <c r="AX68" s="73"/>
      <c r="AY68" s="73"/>
    </row>
    <row r="69" spans="1:51" ht="15.75" customHeight="1" x14ac:dyDescent="0.25">
      <c r="A69" s="71" t="s">
        <v>136</v>
      </c>
      <c r="B69" s="19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72"/>
      <c r="AR69" s="72"/>
      <c r="AS69" s="72"/>
      <c r="AT69" s="72"/>
      <c r="AU69" s="72"/>
      <c r="AV69" s="72"/>
      <c r="AW69" s="72"/>
      <c r="AX69" s="72"/>
      <c r="AY69" s="72"/>
    </row>
    <row r="70" spans="1:51" ht="15.75" hidden="1" customHeight="1" x14ac:dyDescent="0.25">
      <c r="A70" s="71" t="s">
        <v>21</v>
      </c>
      <c r="B70" s="19"/>
      <c r="C70" s="1"/>
      <c r="D70" s="1"/>
      <c r="E70" s="1"/>
      <c r="F70" s="1">
        <v>53000</v>
      </c>
      <c r="G70" s="1">
        <f>F70+1800</f>
        <v>54800</v>
      </c>
      <c r="H70" s="1">
        <v>55414.7</v>
      </c>
      <c r="I70" s="1">
        <f t="shared" ref="I70:Q71" si="71">H70</f>
        <v>55414.7</v>
      </c>
      <c r="J70" s="1">
        <f t="shared" si="71"/>
        <v>55414.7</v>
      </c>
      <c r="K70" s="1">
        <f t="shared" si="71"/>
        <v>55414.7</v>
      </c>
      <c r="L70" s="1">
        <f t="shared" si="71"/>
        <v>55414.7</v>
      </c>
      <c r="M70" s="1">
        <f t="shared" si="71"/>
        <v>55414.7</v>
      </c>
      <c r="N70" s="1">
        <f t="shared" si="71"/>
        <v>55414.7</v>
      </c>
      <c r="O70" s="1">
        <f t="shared" si="71"/>
        <v>55414.7</v>
      </c>
      <c r="P70" s="1">
        <f>O70+(65000/26)</f>
        <v>57914.7</v>
      </c>
      <c r="Q70" s="1">
        <f>76201.91-Q71-Q72</f>
        <v>67051.42</v>
      </c>
      <c r="R70" s="1">
        <f t="shared" ref="R70:T71" si="72">Q70</f>
        <v>67051.42</v>
      </c>
      <c r="S70" s="1">
        <f t="shared" si="72"/>
        <v>67051.42</v>
      </c>
      <c r="T70" s="1">
        <f t="shared" si="72"/>
        <v>67051.42</v>
      </c>
      <c r="U70" s="1">
        <v>61200</v>
      </c>
      <c r="V70" s="1">
        <f t="shared" ref="V70:AJ72" si="73">U70</f>
        <v>61200</v>
      </c>
      <c r="W70" s="1">
        <f t="shared" si="73"/>
        <v>61200</v>
      </c>
      <c r="X70" s="1">
        <f t="shared" si="73"/>
        <v>61200</v>
      </c>
      <c r="Y70" s="1">
        <f t="shared" si="73"/>
        <v>61200</v>
      </c>
      <c r="Z70" s="1">
        <f t="shared" si="73"/>
        <v>61200</v>
      </c>
      <c r="AA70" s="1">
        <f t="shared" si="73"/>
        <v>61200</v>
      </c>
      <c r="AB70" s="1">
        <f t="shared" si="73"/>
        <v>61200</v>
      </c>
      <c r="AC70" s="1">
        <f t="shared" si="73"/>
        <v>61200</v>
      </c>
      <c r="AD70" s="1">
        <v>61701.04</v>
      </c>
      <c r="AE70" s="1">
        <v>61701.04</v>
      </c>
      <c r="AF70" s="1">
        <f>AE70/2*3</f>
        <v>92551.56</v>
      </c>
      <c r="AG70" s="1">
        <f>AE70</f>
        <v>61701.04</v>
      </c>
      <c r="AH70" s="1">
        <f>AG70</f>
        <v>61701.04</v>
      </c>
      <c r="AI70" s="1">
        <f>AH70</f>
        <v>61701.04</v>
      </c>
      <c r="AJ70" s="1">
        <f t="shared" si="73"/>
        <v>61701.04</v>
      </c>
      <c r="AK70" s="1">
        <f>AJ70*1.5</f>
        <v>92551.56</v>
      </c>
      <c r="AL70" s="1">
        <f t="shared" ref="AL70:AX74" si="74">AJ70</f>
        <v>61701.04</v>
      </c>
      <c r="AM70" s="1">
        <f t="shared" si="74"/>
        <v>92551.56</v>
      </c>
      <c r="AN70" s="1">
        <f t="shared" si="74"/>
        <v>61701.04</v>
      </c>
      <c r="AO70" s="1">
        <f t="shared" si="74"/>
        <v>92551.56</v>
      </c>
      <c r="AP70" s="1">
        <f t="shared" si="74"/>
        <v>61701.04</v>
      </c>
      <c r="AQ70" s="72">
        <f t="shared" si="74"/>
        <v>92551.56</v>
      </c>
      <c r="AR70" s="72">
        <f t="shared" si="74"/>
        <v>61701.04</v>
      </c>
      <c r="AS70" s="72">
        <f t="shared" si="74"/>
        <v>92551.56</v>
      </c>
      <c r="AT70" s="72">
        <f t="shared" si="74"/>
        <v>61701.04</v>
      </c>
      <c r="AU70" s="72">
        <f t="shared" si="74"/>
        <v>92551.56</v>
      </c>
      <c r="AV70" s="72">
        <f t="shared" si="74"/>
        <v>61701.04</v>
      </c>
      <c r="AW70" s="72">
        <f t="shared" si="74"/>
        <v>92551.56</v>
      </c>
      <c r="AX70" s="72">
        <f t="shared" si="74"/>
        <v>61701.04</v>
      </c>
      <c r="AY70" s="72"/>
    </row>
    <row r="71" spans="1:51" ht="15.75" hidden="1" customHeight="1" x14ac:dyDescent="0.25">
      <c r="A71" s="71" t="s">
        <v>175</v>
      </c>
      <c r="B71" s="19"/>
      <c r="C71" s="1"/>
      <c r="D71" s="1"/>
      <c r="E71" s="1"/>
      <c r="F71" s="1">
        <v>5963.91</v>
      </c>
      <c r="G71" s="1">
        <f>F71+1500</f>
        <v>7463.91</v>
      </c>
      <c r="H71" s="1">
        <v>6290.49</v>
      </c>
      <c r="I71" s="1">
        <f>H71+1800</f>
        <v>8090.49</v>
      </c>
      <c r="J71" s="1">
        <f t="shared" si="71"/>
        <v>8090.49</v>
      </c>
      <c r="K71" s="1">
        <f t="shared" si="71"/>
        <v>8090.49</v>
      </c>
      <c r="L71" s="1">
        <f t="shared" si="71"/>
        <v>8090.49</v>
      </c>
      <c r="M71" s="1">
        <f t="shared" si="71"/>
        <v>8090.49</v>
      </c>
      <c r="N71" s="1">
        <f t="shared" si="71"/>
        <v>8090.49</v>
      </c>
      <c r="O71" s="1">
        <f t="shared" si="71"/>
        <v>8090.49</v>
      </c>
      <c r="P71" s="1">
        <f>O71+(13000/26)</f>
        <v>8590.49</v>
      </c>
      <c r="Q71" s="1">
        <f t="shared" si="71"/>
        <v>8590.49</v>
      </c>
      <c r="R71" s="1">
        <f t="shared" si="72"/>
        <v>8590.49</v>
      </c>
      <c r="S71" s="1">
        <f t="shared" si="72"/>
        <v>8590.49</v>
      </c>
      <c r="T71" s="1">
        <f t="shared" si="72"/>
        <v>8590.49</v>
      </c>
      <c r="U71" s="1">
        <v>9161.75</v>
      </c>
      <c r="V71" s="1">
        <f t="shared" si="73"/>
        <v>9161.75</v>
      </c>
      <c r="W71" s="1">
        <f t="shared" si="73"/>
        <v>9161.75</v>
      </c>
      <c r="X71" s="1">
        <f t="shared" si="73"/>
        <v>9161.75</v>
      </c>
      <c r="Y71" s="1">
        <f t="shared" si="73"/>
        <v>9161.75</v>
      </c>
      <c r="Z71" s="1">
        <f t="shared" si="73"/>
        <v>9161.75</v>
      </c>
      <c r="AA71" s="1">
        <f t="shared" si="73"/>
        <v>9161.75</v>
      </c>
      <c r="AB71" s="1">
        <f t="shared" si="73"/>
        <v>9161.75</v>
      </c>
      <c r="AC71" s="1">
        <f t="shared" si="73"/>
        <v>9161.75</v>
      </c>
      <c r="AD71" s="1">
        <f>6955.62+5441.24</f>
        <v>12396.86</v>
      </c>
      <c r="AE71" s="1">
        <f>6955.62+5441.24</f>
        <v>12396.86</v>
      </c>
      <c r="AF71" s="1">
        <f>AE71/2*3</f>
        <v>18595.29</v>
      </c>
      <c r="AG71" s="1">
        <f>AE71</f>
        <v>12396.86</v>
      </c>
      <c r="AH71" s="1">
        <f t="shared" si="73"/>
        <v>12396.86</v>
      </c>
      <c r="AI71" s="1">
        <f t="shared" si="73"/>
        <v>12396.86</v>
      </c>
      <c r="AJ71" s="1">
        <f t="shared" si="73"/>
        <v>12396.86</v>
      </c>
      <c r="AK71" s="1">
        <f t="shared" ref="AK71:AK72" si="75">AJ71*1.5</f>
        <v>18595.29</v>
      </c>
      <c r="AL71" s="1">
        <f t="shared" si="74"/>
        <v>12396.86</v>
      </c>
      <c r="AM71" s="1">
        <f t="shared" si="74"/>
        <v>18595.29</v>
      </c>
      <c r="AN71" s="1">
        <f t="shared" si="74"/>
        <v>12396.86</v>
      </c>
      <c r="AO71" s="1">
        <f t="shared" si="74"/>
        <v>18595.29</v>
      </c>
      <c r="AP71" s="1">
        <f t="shared" si="74"/>
        <v>12396.86</v>
      </c>
      <c r="AQ71" s="72">
        <f t="shared" si="74"/>
        <v>18595.29</v>
      </c>
      <c r="AR71" s="72">
        <f t="shared" si="74"/>
        <v>12396.86</v>
      </c>
      <c r="AS71" s="72">
        <f t="shared" si="74"/>
        <v>18595.29</v>
      </c>
      <c r="AT71" s="72">
        <f t="shared" si="74"/>
        <v>12396.86</v>
      </c>
      <c r="AU71" s="72">
        <f t="shared" si="74"/>
        <v>18595.29</v>
      </c>
      <c r="AV71" s="72">
        <f t="shared" si="74"/>
        <v>12396.86</v>
      </c>
      <c r="AW71" s="72">
        <f t="shared" si="74"/>
        <v>18595.29</v>
      </c>
      <c r="AX71" s="72">
        <f t="shared" si="74"/>
        <v>12396.86</v>
      </c>
      <c r="AY71" s="72"/>
    </row>
    <row r="72" spans="1:51" ht="15.75" hidden="1" customHeight="1" x14ac:dyDescent="0.25">
      <c r="A72" s="71" t="s">
        <v>25</v>
      </c>
      <c r="B72" s="19"/>
      <c r="C72" s="1"/>
      <c r="D72" s="1"/>
      <c r="E72" s="1"/>
      <c r="F72" s="1">
        <v>560</v>
      </c>
      <c r="G72" s="1">
        <f>F72</f>
        <v>560</v>
      </c>
      <c r="H72" s="1">
        <f t="shared" ref="H72:U72" si="76">G72</f>
        <v>560</v>
      </c>
      <c r="I72" s="1">
        <f t="shared" si="76"/>
        <v>560</v>
      </c>
      <c r="J72" s="1">
        <f t="shared" si="76"/>
        <v>560</v>
      </c>
      <c r="K72" s="1">
        <f t="shared" si="76"/>
        <v>560</v>
      </c>
      <c r="L72" s="1">
        <f t="shared" si="76"/>
        <v>560</v>
      </c>
      <c r="M72" s="1">
        <f t="shared" si="76"/>
        <v>560</v>
      </c>
      <c r="N72" s="1">
        <f t="shared" si="76"/>
        <v>560</v>
      </c>
      <c r="O72" s="1">
        <f t="shared" si="76"/>
        <v>560</v>
      </c>
      <c r="P72" s="1">
        <f t="shared" si="76"/>
        <v>560</v>
      </c>
      <c r="Q72" s="1">
        <f t="shared" si="76"/>
        <v>560</v>
      </c>
      <c r="R72" s="1">
        <f t="shared" si="76"/>
        <v>560</v>
      </c>
      <c r="S72" s="1">
        <f t="shared" si="76"/>
        <v>560</v>
      </c>
      <c r="T72" s="1">
        <f t="shared" si="76"/>
        <v>560</v>
      </c>
      <c r="U72" s="1">
        <f t="shared" si="76"/>
        <v>560</v>
      </c>
      <c r="V72" s="1">
        <f t="shared" si="73"/>
        <v>560</v>
      </c>
      <c r="W72" s="1">
        <f t="shared" si="73"/>
        <v>560</v>
      </c>
      <c r="X72" s="1">
        <f t="shared" si="73"/>
        <v>560</v>
      </c>
      <c r="Y72" s="1">
        <f t="shared" si="73"/>
        <v>560</v>
      </c>
      <c r="Z72" s="1">
        <f t="shared" si="73"/>
        <v>560</v>
      </c>
      <c r="AA72" s="1">
        <f t="shared" si="73"/>
        <v>560</v>
      </c>
      <c r="AB72" s="1">
        <f t="shared" si="73"/>
        <v>560</v>
      </c>
      <c r="AC72" s="1">
        <f t="shared" si="73"/>
        <v>560</v>
      </c>
      <c r="AD72" s="1">
        <f t="shared" si="73"/>
        <v>560</v>
      </c>
      <c r="AE72" s="1">
        <v>560</v>
      </c>
      <c r="AF72" s="1">
        <f>AE72/2*3</f>
        <v>840</v>
      </c>
      <c r="AG72" s="1">
        <f t="shared" si="73"/>
        <v>840</v>
      </c>
      <c r="AH72" s="1">
        <f t="shared" si="73"/>
        <v>840</v>
      </c>
      <c r="AI72" s="1">
        <f t="shared" si="73"/>
        <v>840</v>
      </c>
      <c r="AJ72" s="1">
        <f t="shared" si="73"/>
        <v>840</v>
      </c>
      <c r="AK72" s="1">
        <f t="shared" si="75"/>
        <v>1260</v>
      </c>
      <c r="AL72" s="1">
        <f t="shared" si="74"/>
        <v>840</v>
      </c>
      <c r="AM72" s="1">
        <f t="shared" si="74"/>
        <v>1260</v>
      </c>
      <c r="AN72" s="1">
        <f t="shared" si="74"/>
        <v>840</v>
      </c>
      <c r="AO72" s="1">
        <f t="shared" si="74"/>
        <v>1260</v>
      </c>
      <c r="AP72" s="1">
        <f t="shared" si="74"/>
        <v>840</v>
      </c>
      <c r="AQ72" s="72">
        <f t="shared" si="74"/>
        <v>1260</v>
      </c>
      <c r="AR72" s="72">
        <f t="shared" si="74"/>
        <v>840</v>
      </c>
      <c r="AS72" s="72">
        <f t="shared" si="74"/>
        <v>1260</v>
      </c>
      <c r="AT72" s="72">
        <f t="shared" si="74"/>
        <v>840</v>
      </c>
      <c r="AU72" s="72">
        <f t="shared" si="74"/>
        <v>1260</v>
      </c>
      <c r="AV72" s="72">
        <f t="shared" si="74"/>
        <v>840</v>
      </c>
      <c r="AW72" s="72">
        <f t="shared" si="74"/>
        <v>1260</v>
      </c>
      <c r="AX72" s="72">
        <f t="shared" si="74"/>
        <v>840</v>
      </c>
      <c r="AY72" s="72"/>
    </row>
    <row r="73" spans="1:51" ht="15.75" hidden="1" customHeight="1" x14ac:dyDescent="0.25">
      <c r="A73" s="71" t="s">
        <v>27</v>
      </c>
      <c r="B73" s="19"/>
      <c r="C73" s="1"/>
      <c r="D73" s="1"/>
      <c r="E73" s="1"/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f t="shared" si="74"/>
        <v>0</v>
      </c>
      <c r="AM73" s="1">
        <f t="shared" si="74"/>
        <v>0</v>
      </c>
      <c r="AN73" s="1">
        <f t="shared" si="74"/>
        <v>0</v>
      </c>
      <c r="AO73" s="1">
        <f t="shared" si="74"/>
        <v>0</v>
      </c>
      <c r="AP73" s="1">
        <f t="shared" si="74"/>
        <v>0</v>
      </c>
      <c r="AQ73" s="72">
        <f t="shared" si="74"/>
        <v>0</v>
      </c>
      <c r="AR73" s="72">
        <f t="shared" si="74"/>
        <v>0</v>
      </c>
      <c r="AS73" s="72">
        <f t="shared" si="74"/>
        <v>0</v>
      </c>
      <c r="AT73" s="72">
        <f t="shared" si="74"/>
        <v>0</v>
      </c>
      <c r="AU73" s="72">
        <f t="shared" si="74"/>
        <v>0</v>
      </c>
      <c r="AV73" s="72">
        <f t="shared" si="74"/>
        <v>0</v>
      </c>
      <c r="AW73" s="72">
        <f t="shared" si="74"/>
        <v>0</v>
      </c>
      <c r="AX73" s="72">
        <f t="shared" si="74"/>
        <v>0</v>
      </c>
      <c r="AY73" s="72"/>
    </row>
    <row r="74" spans="1:51" ht="15.75" hidden="1" customHeight="1" x14ac:dyDescent="0.25">
      <c r="A74" s="71" t="s">
        <v>29</v>
      </c>
      <c r="B74" s="19"/>
      <c r="C74" s="4"/>
      <c r="D74" s="4"/>
      <c r="E74" s="4"/>
      <c r="F74" s="4">
        <v>21000</v>
      </c>
      <c r="G74" s="4">
        <f>F74</f>
        <v>21000</v>
      </c>
      <c r="H74" s="4">
        <f t="shared" ref="H74:M74" si="77">G74</f>
        <v>21000</v>
      </c>
      <c r="I74" s="4">
        <f t="shared" si="77"/>
        <v>21000</v>
      </c>
      <c r="J74" s="4">
        <f t="shared" si="77"/>
        <v>21000</v>
      </c>
      <c r="K74" s="4">
        <f t="shared" si="77"/>
        <v>21000</v>
      </c>
      <c r="L74" s="4">
        <f t="shared" si="77"/>
        <v>21000</v>
      </c>
      <c r="M74" s="4">
        <f t="shared" si="77"/>
        <v>21000</v>
      </c>
      <c r="N74" s="4">
        <f>M74</f>
        <v>21000</v>
      </c>
      <c r="O74" s="4">
        <v>0</v>
      </c>
      <c r="P74" s="4">
        <f>O74</f>
        <v>0</v>
      </c>
      <c r="Q74" s="4">
        <v>5000</v>
      </c>
      <c r="R74" s="4">
        <f>3000</f>
        <v>3000</v>
      </c>
      <c r="S74" s="4">
        <f>R74+500</f>
        <v>3500</v>
      </c>
      <c r="T74" s="4">
        <f>S74-500</f>
        <v>3000</v>
      </c>
      <c r="U74" s="4">
        <f>40485.41-U108</f>
        <v>29704.780000000006</v>
      </c>
      <c r="V74" s="4">
        <v>500</v>
      </c>
      <c r="W74" s="4">
        <f t="shared" ref="W74:AJ74" si="78">V74</f>
        <v>500</v>
      </c>
      <c r="X74" s="4">
        <f t="shared" si="78"/>
        <v>500</v>
      </c>
      <c r="Y74" s="4">
        <f t="shared" si="78"/>
        <v>500</v>
      </c>
      <c r="Z74" s="4">
        <f t="shared" si="78"/>
        <v>500</v>
      </c>
      <c r="AA74" s="4">
        <f t="shared" si="78"/>
        <v>500</v>
      </c>
      <c r="AB74" s="4">
        <f t="shared" si="78"/>
        <v>500</v>
      </c>
      <c r="AC74" s="4">
        <f t="shared" si="78"/>
        <v>500</v>
      </c>
      <c r="AD74" s="4">
        <f t="shared" si="78"/>
        <v>500</v>
      </c>
      <c r="AE74" s="4">
        <f t="shared" si="78"/>
        <v>500</v>
      </c>
      <c r="AF74" s="4">
        <f t="shared" si="78"/>
        <v>500</v>
      </c>
      <c r="AG74" s="4">
        <f t="shared" si="78"/>
        <v>500</v>
      </c>
      <c r="AH74" s="4">
        <f t="shared" si="78"/>
        <v>500</v>
      </c>
      <c r="AI74" s="4">
        <f t="shared" si="78"/>
        <v>500</v>
      </c>
      <c r="AJ74" s="4">
        <f t="shared" si="78"/>
        <v>500</v>
      </c>
      <c r="AK74" s="4">
        <f>AJ74</f>
        <v>500</v>
      </c>
      <c r="AL74" s="1">
        <f t="shared" si="74"/>
        <v>500</v>
      </c>
      <c r="AM74" s="1">
        <f t="shared" si="74"/>
        <v>500</v>
      </c>
      <c r="AN74" s="1">
        <f t="shared" si="74"/>
        <v>500</v>
      </c>
      <c r="AO74" s="1">
        <f t="shared" si="74"/>
        <v>500</v>
      </c>
      <c r="AP74" s="1">
        <f t="shared" si="74"/>
        <v>500</v>
      </c>
      <c r="AQ74" s="72">
        <f t="shared" si="74"/>
        <v>500</v>
      </c>
      <c r="AR74" s="72">
        <f t="shared" si="74"/>
        <v>500</v>
      </c>
      <c r="AS74" s="72">
        <f t="shared" si="74"/>
        <v>500</v>
      </c>
      <c r="AT74" s="72">
        <f t="shared" si="74"/>
        <v>500</v>
      </c>
      <c r="AU74" s="72">
        <f t="shared" si="74"/>
        <v>500</v>
      </c>
      <c r="AV74" s="72">
        <f t="shared" si="74"/>
        <v>500</v>
      </c>
      <c r="AW74" s="72">
        <f t="shared" si="74"/>
        <v>500</v>
      </c>
      <c r="AX74" s="72">
        <f t="shared" si="74"/>
        <v>500</v>
      </c>
      <c r="AY74" s="72"/>
    </row>
    <row r="75" spans="1:51" ht="15.75" hidden="1" customHeight="1" x14ac:dyDescent="0.25">
      <c r="A75" s="71" t="s">
        <v>126</v>
      </c>
      <c r="B75" s="19"/>
      <c r="C75" s="1"/>
      <c r="D75" s="1"/>
      <c r="E75" s="1"/>
      <c r="F75" s="1">
        <f t="shared" ref="F75:M75" si="79">SUM(F70:F74)</f>
        <v>80523.91</v>
      </c>
      <c r="G75" s="1">
        <f t="shared" si="79"/>
        <v>83823.91</v>
      </c>
      <c r="H75" s="1">
        <f t="shared" si="79"/>
        <v>83265.19</v>
      </c>
      <c r="I75" s="1">
        <f t="shared" si="79"/>
        <v>85065.19</v>
      </c>
      <c r="J75" s="1">
        <f t="shared" si="79"/>
        <v>85065.19</v>
      </c>
      <c r="K75" s="1">
        <f t="shared" si="79"/>
        <v>85065.19</v>
      </c>
      <c r="L75" s="1">
        <f t="shared" si="79"/>
        <v>85065.19</v>
      </c>
      <c r="M75" s="1">
        <f t="shared" si="79"/>
        <v>85065.19</v>
      </c>
      <c r="N75" s="1">
        <f t="shared" ref="N75:AK75" si="80">SUM(N70:N74)</f>
        <v>85065.19</v>
      </c>
      <c r="O75" s="1">
        <f t="shared" si="80"/>
        <v>64065.189999999995</v>
      </c>
      <c r="P75" s="1">
        <f t="shared" si="80"/>
        <v>67065.19</v>
      </c>
      <c r="Q75" s="1">
        <f t="shared" si="80"/>
        <v>81201.91</v>
      </c>
      <c r="R75" s="1">
        <f t="shared" si="80"/>
        <v>79201.91</v>
      </c>
      <c r="S75" s="1">
        <f t="shared" si="80"/>
        <v>79701.91</v>
      </c>
      <c r="T75" s="1">
        <f t="shared" si="80"/>
        <v>79201.91</v>
      </c>
      <c r="U75" s="1">
        <f t="shared" si="80"/>
        <v>100626.53</v>
      </c>
      <c r="V75" s="1">
        <f t="shared" si="80"/>
        <v>71421.75</v>
      </c>
      <c r="W75" s="1">
        <f t="shared" si="80"/>
        <v>71421.75</v>
      </c>
      <c r="X75" s="1">
        <f t="shared" si="80"/>
        <v>71421.75</v>
      </c>
      <c r="Y75" s="1">
        <f t="shared" si="80"/>
        <v>71421.75</v>
      </c>
      <c r="Z75" s="1">
        <f t="shared" si="80"/>
        <v>71421.75</v>
      </c>
      <c r="AA75" s="1">
        <f t="shared" si="80"/>
        <v>71421.75</v>
      </c>
      <c r="AB75" s="1">
        <f t="shared" si="80"/>
        <v>71421.75</v>
      </c>
      <c r="AC75" s="1">
        <f t="shared" si="80"/>
        <v>71421.75</v>
      </c>
      <c r="AD75" s="1">
        <f t="shared" si="80"/>
        <v>75157.899999999994</v>
      </c>
      <c r="AE75" s="1">
        <f t="shared" si="80"/>
        <v>75157.899999999994</v>
      </c>
      <c r="AF75" s="1">
        <f t="shared" si="80"/>
        <v>112486.85</v>
      </c>
      <c r="AG75" s="1">
        <f t="shared" si="80"/>
        <v>75437.899999999994</v>
      </c>
      <c r="AH75" s="1">
        <f t="shared" si="80"/>
        <v>75437.899999999994</v>
      </c>
      <c r="AI75" s="1">
        <f t="shared" si="80"/>
        <v>75437.899999999994</v>
      </c>
      <c r="AJ75" s="1">
        <f t="shared" si="80"/>
        <v>75437.899999999994</v>
      </c>
      <c r="AK75" s="1">
        <f t="shared" si="80"/>
        <v>112906.85</v>
      </c>
      <c r="AL75" s="1">
        <f>SUM(AL70:AL74)</f>
        <v>75437.899999999994</v>
      </c>
      <c r="AM75" s="1">
        <f>SUM(AM70:AM74)</f>
        <v>112906.85</v>
      </c>
      <c r="AN75" s="1">
        <f>SUM(AN70:AN74)</f>
        <v>75437.899999999994</v>
      </c>
      <c r="AO75" s="1">
        <f>SUM(AO70:AO74)</f>
        <v>112906.85</v>
      </c>
      <c r="AP75" s="1">
        <f t="shared" ref="AP75:AQ75" si="81">SUM(AP70:AP74)</f>
        <v>75437.899999999994</v>
      </c>
      <c r="AQ75" s="72">
        <f t="shared" si="81"/>
        <v>112906.85</v>
      </c>
      <c r="AR75" s="72">
        <f t="shared" ref="AR75:AS75" si="82">SUM(AR70:AR74)</f>
        <v>75437.899999999994</v>
      </c>
      <c r="AS75" s="72">
        <f t="shared" si="82"/>
        <v>112906.85</v>
      </c>
      <c r="AT75" s="72">
        <f t="shared" ref="AT75:AV75" si="83">SUM(AT70:AT74)</f>
        <v>75437.899999999994</v>
      </c>
      <c r="AU75" s="72">
        <f t="shared" si="83"/>
        <v>112906.85</v>
      </c>
      <c r="AV75" s="72">
        <f t="shared" si="83"/>
        <v>75437.899999999994</v>
      </c>
      <c r="AW75" s="72">
        <f t="shared" ref="AW75" si="84">SUM(AW70:AW74)</f>
        <v>112906.85</v>
      </c>
      <c r="AX75" s="72">
        <f t="shared" ref="AX75" si="85">SUM(AX70:AX74)</f>
        <v>75437.899999999994</v>
      </c>
      <c r="AY75" s="72"/>
    </row>
    <row r="76" spans="1:51" ht="15.75" hidden="1" customHeight="1" x14ac:dyDescent="0.25">
      <c r="A76" s="71"/>
      <c r="B76" s="19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72"/>
      <c r="AR76" s="72"/>
      <c r="AS76" s="72"/>
      <c r="AT76" s="72"/>
      <c r="AU76" s="72"/>
      <c r="AV76" s="72"/>
      <c r="AW76" s="72"/>
      <c r="AX76" s="72"/>
      <c r="AY76" s="72"/>
    </row>
    <row r="77" spans="1:51" ht="15.75" hidden="1" customHeight="1" x14ac:dyDescent="0.25">
      <c r="A77" s="71"/>
      <c r="B77" s="19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72"/>
      <c r="AR77" s="72"/>
      <c r="AS77" s="72"/>
      <c r="AT77" s="72"/>
      <c r="AU77" s="72"/>
      <c r="AV77" s="72"/>
      <c r="AW77" s="72"/>
      <c r="AX77" s="72"/>
      <c r="AY77" s="72"/>
    </row>
    <row r="78" spans="1:51" ht="15.75" hidden="1" customHeight="1" x14ac:dyDescent="0.25">
      <c r="A78" s="71" t="s">
        <v>33</v>
      </c>
      <c r="B78" s="19"/>
      <c r="C78" s="1"/>
      <c r="D78" s="1"/>
      <c r="E78" s="1"/>
      <c r="F78" s="1">
        <v>3664.92</v>
      </c>
      <c r="G78" s="1">
        <f>F78</f>
        <v>3664.92</v>
      </c>
      <c r="H78" s="1">
        <f t="shared" ref="H78:U84" si="86">G78</f>
        <v>3664.92</v>
      </c>
      <c r="I78" s="1">
        <f t="shared" si="86"/>
        <v>3664.92</v>
      </c>
      <c r="J78" s="1">
        <f t="shared" si="86"/>
        <v>3664.92</v>
      </c>
      <c r="K78" s="1">
        <f t="shared" si="86"/>
        <v>3664.92</v>
      </c>
      <c r="L78" s="1">
        <f t="shared" si="86"/>
        <v>3664.92</v>
      </c>
      <c r="M78" s="1">
        <f t="shared" si="86"/>
        <v>3664.92</v>
      </c>
      <c r="N78" s="1">
        <f t="shared" si="86"/>
        <v>3664.92</v>
      </c>
      <c r="O78" s="1">
        <f t="shared" si="86"/>
        <v>3664.92</v>
      </c>
      <c r="P78" s="1">
        <f t="shared" si="86"/>
        <v>3664.92</v>
      </c>
      <c r="Q78" s="1">
        <f t="shared" si="86"/>
        <v>3664.92</v>
      </c>
      <c r="R78" s="1">
        <f>3665+415</f>
        <v>4080</v>
      </c>
      <c r="S78" s="1">
        <f t="shared" si="86"/>
        <v>4080</v>
      </c>
      <c r="T78" s="1">
        <f t="shared" si="86"/>
        <v>4080</v>
      </c>
      <c r="U78" s="1">
        <v>3665</v>
      </c>
      <c r="V78" s="1">
        <v>4150</v>
      </c>
      <c r="W78" s="1">
        <f t="shared" ref="W78:AJ84" si="87">V78</f>
        <v>4150</v>
      </c>
      <c r="X78" s="1">
        <f t="shared" si="87"/>
        <v>4150</v>
      </c>
      <c r="Y78" s="1">
        <f t="shared" si="87"/>
        <v>4150</v>
      </c>
      <c r="Z78" s="1">
        <f t="shared" si="87"/>
        <v>4150</v>
      </c>
      <c r="AA78" s="1">
        <f t="shared" si="87"/>
        <v>4150</v>
      </c>
      <c r="AB78" s="1">
        <f t="shared" si="87"/>
        <v>4150</v>
      </c>
      <c r="AC78" s="1">
        <f t="shared" si="87"/>
        <v>4150</v>
      </c>
      <c r="AD78" s="1">
        <f t="shared" si="87"/>
        <v>4150</v>
      </c>
      <c r="AE78" s="1">
        <f t="shared" si="87"/>
        <v>4150</v>
      </c>
      <c r="AF78" s="1">
        <f t="shared" si="87"/>
        <v>4150</v>
      </c>
      <c r="AG78" s="1">
        <f t="shared" si="87"/>
        <v>4150</v>
      </c>
      <c r="AH78" s="1">
        <f t="shared" si="87"/>
        <v>4150</v>
      </c>
      <c r="AI78" s="1">
        <f t="shared" si="87"/>
        <v>4150</v>
      </c>
      <c r="AJ78" s="1">
        <f t="shared" si="87"/>
        <v>4150</v>
      </c>
      <c r="AK78" s="1">
        <f t="shared" ref="AK78:AX84" si="88">AJ78</f>
        <v>4150</v>
      </c>
      <c r="AL78" s="1">
        <f t="shared" si="88"/>
        <v>4150</v>
      </c>
      <c r="AM78" s="1">
        <f t="shared" si="88"/>
        <v>4150</v>
      </c>
      <c r="AN78" s="1">
        <f t="shared" si="88"/>
        <v>4150</v>
      </c>
      <c r="AO78" s="1">
        <f t="shared" si="88"/>
        <v>4150</v>
      </c>
      <c r="AP78" s="1">
        <f t="shared" si="88"/>
        <v>4150</v>
      </c>
      <c r="AQ78" s="72">
        <f t="shared" si="88"/>
        <v>4150</v>
      </c>
      <c r="AR78" s="72">
        <f t="shared" si="88"/>
        <v>4150</v>
      </c>
      <c r="AS78" s="72">
        <f t="shared" si="88"/>
        <v>4150</v>
      </c>
      <c r="AT78" s="72">
        <f t="shared" si="88"/>
        <v>4150</v>
      </c>
      <c r="AU78" s="72">
        <f t="shared" si="88"/>
        <v>4150</v>
      </c>
      <c r="AV78" s="72">
        <f t="shared" si="88"/>
        <v>4150</v>
      </c>
      <c r="AW78" s="72">
        <f t="shared" si="88"/>
        <v>4150</v>
      </c>
      <c r="AX78" s="72">
        <f t="shared" si="88"/>
        <v>4150</v>
      </c>
      <c r="AY78" s="72"/>
    </row>
    <row r="79" spans="1:51" ht="15.75" hidden="1" customHeight="1" x14ac:dyDescent="0.25">
      <c r="A79" s="71" t="s">
        <v>35</v>
      </c>
      <c r="B79" s="19"/>
      <c r="C79" s="1"/>
      <c r="D79" s="1"/>
      <c r="E79" s="1"/>
      <c r="F79" s="1">
        <f>430+180</f>
        <v>610</v>
      </c>
      <c r="G79" s="1">
        <f>400+30</f>
        <v>430</v>
      </c>
      <c r="H79" s="1">
        <f t="shared" si="86"/>
        <v>430</v>
      </c>
      <c r="I79" s="1">
        <f t="shared" si="86"/>
        <v>430</v>
      </c>
      <c r="J79" s="1">
        <f t="shared" si="86"/>
        <v>430</v>
      </c>
      <c r="K79" s="1">
        <f t="shared" si="86"/>
        <v>430</v>
      </c>
      <c r="L79" s="1">
        <f t="shared" si="86"/>
        <v>430</v>
      </c>
      <c r="M79" s="1">
        <f t="shared" si="86"/>
        <v>430</v>
      </c>
      <c r="N79" s="1">
        <f t="shared" si="86"/>
        <v>430</v>
      </c>
      <c r="O79" s="1">
        <f t="shared" si="86"/>
        <v>430</v>
      </c>
      <c r="P79" s="1">
        <f t="shared" si="86"/>
        <v>430</v>
      </c>
      <c r="Q79" s="1">
        <f t="shared" si="86"/>
        <v>430</v>
      </c>
      <c r="R79" s="1">
        <f t="shared" si="86"/>
        <v>430</v>
      </c>
      <c r="S79" s="1">
        <f t="shared" si="86"/>
        <v>430</v>
      </c>
      <c r="T79" s="1">
        <f t="shared" si="86"/>
        <v>430</v>
      </c>
      <c r="U79" s="1">
        <v>206</v>
      </c>
      <c r="V79" s="1">
        <v>420</v>
      </c>
      <c r="W79" s="1">
        <f t="shared" si="87"/>
        <v>420</v>
      </c>
      <c r="X79" s="1">
        <f t="shared" si="87"/>
        <v>420</v>
      </c>
      <c r="Y79" s="1">
        <f t="shared" si="87"/>
        <v>420</v>
      </c>
      <c r="Z79" s="1">
        <f t="shared" ref="Z79:AJ84" si="89">Y79</f>
        <v>420</v>
      </c>
      <c r="AA79" s="1">
        <f t="shared" si="89"/>
        <v>420</v>
      </c>
      <c r="AB79" s="1">
        <f t="shared" si="89"/>
        <v>420</v>
      </c>
      <c r="AC79" s="1">
        <f t="shared" si="89"/>
        <v>420</v>
      </c>
      <c r="AD79" s="1">
        <f t="shared" si="89"/>
        <v>420</v>
      </c>
      <c r="AE79" s="1">
        <f t="shared" si="89"/>
        <v>420</v>
      </c>
      <c r="AF79" s="1">
        <f t="shared" si="89"/>
        <v>420</v>
      </c>
      <c r="AG79" s="1">
        <f t="shared" si="89"/>
        <v>420</v>
      </c>
      <c r="AH79" s="1">
        <f t="shared" si="89"/>
        <v>420</v>
      </c>
      <c r="AI79" s="1">
        <f t="shared" si="89"/>
        <v>420</v>
      </c>
      <c r="AJ79" s="1">
        <f t="shared" si="89"/>
        <v>420</v>
      </c>
      <c r="AK79" s="1">
        <f t="shared" si="88"/>
        <v>420</v>
      </c>
      <c r="AL79" s="1">
        <f t="shared" si="88"/>
        <v>420</v>
      </c>
      <c r="AM79" s="1">
        <f t="shared" si="88"/>
        <v>420</v>
      </c>
      <c r="AN79" s="1">
        <f t="shared" si="88"/>
        <v>420</v>
      </c>
      <c r="AO79" s="1">
        <f t="shared" si="88"/>
        <v>420</v>
      </c>
      <c r="AP79" s="1">
        <f t="shared" si="88"/>
        <v>420</v>
      </c>
      <c r="AQ79" s="72">
        <f t="shared" si="88"/>
        <v>420</v>
      </c>
      <c r="AR79" s="72">
        <f t="shared" si="88"/>
        <v>420</v>
      </c>
      <c r="AS79" s="72">
        <f t="shared" si="88"/>
        <v>420</v>
      </c>
      <c r="AT79" s="72">
        <f t="shared" si="88"/>
        <v>420</v>
      </c>
      <c r="AU79" s="72">
        <f t="shared" si="88"/>
        <v>420</v>
      </c>
      <c r="AV79" s="72">
        <f t="shared" si="88"/>
        <v>420</v>
      </c>
      <c r="AW79" s="72">
        <f t="shared" si="88"/>
        <v>420</v>
      </c>
      <c r="AX79" s="72">
        <f t="shared" si="88"/>
        <v>420</v>
      </c>
      <c r="AY79" s="72"/>
    </row>
    <row r="80" spans="1:51" ht="15.75" hidden="1" customHeight="1" x14ac:dyDescent="0.25">
      <c r="A80" s="71" t="s">
        <v>37</v>
      </c>
      <c r="B80" s="19"/>
      <c r="C80" s="1"/>
      <c r="D80" s="1"/>
      <c r="E80" s="1"/>
      <c r="F80" s="1">
        <f>220+100</f>
        <v>320</v>
      </c>
      <c r="G80" s="1">
        <f>200+400</f>
        <v>600</v>
      </c>
      <c r="H80" s="1">
        <f t="shared" si="86"/>
        <v>600</v>
      </c>
      <c r="I80" s="1">
        <f t="shared" si="86"/>
        <v>600</v>
      </c>
      <c r="J80" s="1">
        <f t="shared" si="86"/>
        <v>600</v>
      </c>
      <c r="K80" s="1">
        <f t="shared" si="86"/>
        <v>600</v>
      </c>
      <c r="L80" s="1">
        <f t="shared" si="86"/>
        <v>600</v>
      </c>
      <c r="M80" s="1">
        <f t="shared" si="86"/>
        <v>600</v>
      </c>
      <c r="N80" s="1">
        <f t="shared" si="86"/>
        <v>600</v>
      </c>
      <c r="O80" s="1">
        <f t="shared" si="86"/>
        <v>600</v>
      </c>
      <c r="P80" s="1">
        <f t="shared" si="86"/>
        <v>600</v>
      </c>
      <c r="Q80" s="1">
        <f t="shared" si="86"/>
        <v>600</v>
      </c>
      <c r="R80" s="1">
        <f t="shared" si="86"/>
        <v>600</v>
      </c>
      <c r="S80" s="1">
        <f t="shared" si="86"/>
        <v>600</v>
      </c>
      <c r="T80" s="1">
        <f t="shared" si="86"/>
        <v>600</v>
      </c>
      <c r="U80" s="1">
        <v>300</v>
      </c>
      <c r="V80" s="1">
        <f>U80</f>
        <v>300</v>
      </c>
      <c r="W80" s="1">
        <f t="shared" si="87"/>
        <v>300</v>
      </c>
      <c r="X80" s="1">
        <f t="shared" si="87"/>
        <v>300</v>
      </c>
      <c r="Y80" s="1">
        <f t="shared" si="87"/>
        <v>300</v>
      </c>
      <c r="Z80" s="1">
        <f t="shared" si="89"/>
        <v>300</v>
      </c>
      <c r="AA80" s="1">
        <f t="shared" si="89"/>
        <v>300</v>
      </c>
      <c r="AB80" s="1">
        <f t="shared" si="89"/>
        <v>300</v>
      </c>
      <c r="AC80" s="1">
        <f t="shared" si="89"/>
        <v>300</v>
      </c>
      <c r="AD80" s="1">
        <f t="shared" si="89"/>
        <v>300</v>
      </c>
      <c r="AE80" s="1">
        <f t="shared" si="89"/>
        <v>300</v>
      </c>
      <c r="AF80" s="1">
        <f t="shared" si="89"/>
        <v>300</v>
      </c>
      <c r="AG80" s="1">
        <f t="shared" si="89"/>
        <v>300</v>
      </c>
      <c r="AH80" s="1">
        <f t="shared" si="89"/>
        <v>300</v>
      </c>
      <c r="AI80" s="1">
        <f t="shared" si="89"/>
        <v>300</v>
      </c>
      <c r="AJ80" s="1">
        <f t="shared" si="89"/>
        <v>300</v>
      </c>
      <c r="AK80" s="1">
        <f t="shared" si="88"/>
        <v>300</v>
      </c>
      <c r="AL80" s="1">
        <f t="shared" si="88"/>
        <v>300</v>
      </c>
      <c r="AM80" s="1">
        <f t="shared" si="88"/>
        <v>300</v>
      </c>
      <c r="AN80" s="1">
        <f t="shared" si="88"/>
        <v>300</v>
      </c>
      <c r="AO80" s="1">
        <f t="shared" si="88"/>
        <v>300</v>
      </c>
      <c r="AP80" s="1">
        <f t="shared" si="88"/>
        <v>300</v>
      </c>
      <c r="AQ80" s="72">
        <f t="shared" si="88"/>
        <v>300</v>
      </c>
      <c r="AR80" s="72">
        <f t="shared" si="88"/>
        <v>300</v>
      </c>
      <c r="AS80" s="72">
        <f t="shared" si="88"/>
        <v>300</v>
      </c>
      <c r="AT80" s="72">
        <f t="shared" si="88"/>
        <v>300</v>
      </c>
      <c r="AU80" s="72">
        <f t="shared" si="88"/>
        <v>300</v>
      </c>
      <c r="AV80" s="72">
        <f t="shared" si="88"/>
        <v>300</v>
      </c>
      <c r="AW80" s="72">
        <f t="shared" si="88"/>
        <v>300</v>
      </c>
      <c r="AX80" s="72">
        <f t="shared" si="88"/>
        <v>300</v>
      </c>
      <c r="AY80" s="72"/>
    </row>
    <row r="81" spans="1:51" ht="15.75" hidden="1" customHeight="1" x14ac:dyDescent="0.25">
      <c r="A81" s="71" t="s">
        <v>39</v>
      </c>
      <c r="B81" s="19"/>
      <c r="C81" s="1"/>
      <c r="D81" s="1"/>
      <c r="E81" s="1"/>
      <c r="F81" s="1">
        <v>1401.79</v>
      </c>
      <c r="G81" s="1">
        <f>1200+75</f>
        <v>1275</v>
      </c>
      <c r="H81" s="1">
        <f t="shared" si="86"/>
        <v>1275</v>
      </c>
      <c r="I81" s="1">
        <f t="shared" si="86"/>
        <v>1275</v>
      </c>
      <c r="J81" s="1">
        <f t="shared" si="86"/>
        <v>1275</v>
      </c>
      <c r="K81" s="1">
        <f t="shared" si="86"/>
        <v>1275</v>
      </c>
      <c r="L81" s="1">
        <f t="shared" si="86"/>
        <v>1275</v>
      </c>
      <c r="M81" s="1">
        <f t="shared" si="86"/>
        <v>1275</v>
      </c>
      <c r="N81" s="1">
        <f t="shared" si="86"/>
        <v>1275</v>
      </c>
      <c r="O81" s="1">
        <f t="shared" si="86"/>
        <v>1275</v>
      </c>
      <c r="P81" s="1">
        <f t="shared" si="86"/>
        <v>1275</v>
      </c>
      <c r="Q81" s="1">
        <f>P81+7000</f>
        <v>8275</v>
      </c>
      <c r="R81" s="1">
        <f>Q81-7000</f>
        <v>1275</v>
      </c>
      <c r="S81" s="1">
        <f t="shared" si="86"/>
        <v>1275</v>
      </c>
      <c r="T81" s="1">
        <f t="shared" si="86"/>
        <v>1275</v>
      </c>
      <c r="U81" s="1">
        <v>1400</v>
      </c>
      <c r="V81" s="1">
        <f>U81</f>
        <v>1400</v>
      </c>
      <c r="W81" s="1">
        <f t="shared" si="87"/>
        <v>1400</v>
      </c>
      <c r="X81" s="1">
        <f t="shared" si="87"/>
        <v>1400</v>
      </c>
      <c r="Y81" s="1">
        <f t="shared" si="87"/>
        <v>1400</v>
      </c>
      <c r="Z81" s="1">
        <f t="shared" si="89"/>
        <v>1400</v>
      </c>
      <c r="AA81" s="1">
        <f t="shared" si="89"/>
        <v>1400</v>
      </c>
      <c r="AB81" s="1">
        <f t="shared" si="89"/>
        <v>1400</v>
      </c>
      <c r="AC81" s="1">
        <f t="shared" si="89"/>
        <v>1400</v>
      </c>
      <c r="AD81" s="1">
        <f t="shared" si="89"/>
        <v>1400</v>
      </c>
      <c r="AE81" s="1">
        <v>1600</v>
      </c>
      <c r="AF81" s="1">
        <f t="shared" si="89"/>
        <v>1600</v>
      </c>
      <c r="AG81" s="1">
        <f t="shared" si="89"/>
        <v>1600</v>
      </c>
      <c r="AH81" s="1">
        <f t="shared" si="89"/>
        <v>1600</v>
      </c>
      <c r="AI81" s="1">
        <f t="shared" si="89"/>
        <v>1600</v>
      </c>
      <c r="AJ81" s="1">
        <f t="shared" si="89"/>
        <v>1600</v>
      </c>
      <c r="AK81" s="1">
        <f t="shared" si="88"/>
        <v>1600</v>
      </c>
      <c r="AL81" s="1">
        <f t="shared" si="88"/>
        <v>1600</v>
      </c>
      <c r="AM81" s="1">
        <f t="shared" si="88"/>
        <v>1600</v>
      </c>
      <c r="AN81" s="1">
        <f t="shared" si="88"/>
        <v>1600</v>
      </c>
      <c r="AO81" s="1">
        <f t="shared" si="88"/>
        <v>1600</v>
      </c>
      <c r="AP81" s="1">
        <f t="shared" si="88"/>
        <v>1600</v>
      </c>
      <c r="AQ81" s="72">
        <f t="shared" si="88"/>
        <v>1600</v>
      </c>
      <c r="AR81" s="72">
        <f t="shared" si="88"/>
        <v>1600</v>
      </c>
      <c r="AS81" s="72">
        <f t="shared" si="88"/>
        <v>1600</v>
      </c>
      <c r="AT81" s="72">
        <f t="shared" si="88"/>
        <v>1600</v>
      </c>
      <c r="AU81" s="72">
        <f t="shared" si="88"/>
        <v>1600</v>
      </c>
      <c r="AV81" s="72">
        <f t="shared" si="88"/>
        <v>1600</v>
      </c>
      <c r="AW81" s="72">
        <f t="shared" si="88"/>
        <v>1600</v>
      </c>
      <c r="AX81" s="72">
        <f t="shared" si="88"/>
        <v>1600</v>
      </c>
      <c r="AY81" s="72"/>
    </row>
    <row r="82" spans="1:51" ht="15.75" hidden="1" customHeight="1" x14ac:dyDescent="0.25">
      <c r="A82" s="71" t="s">
        <v>41</v>
      </c>
      <c r="B82" s="19"/>
      <c r="C82" s="1"/>
      <c r="D82" s="1"/>
      <c r="E82" s="1"/>
      <c r="F82" s="1">
        <v>200</v>
      </c>
      <c r="G82" s="1">
        <v>200</v>
      </c>
      <c r="H82" s="1">
        <v>200</v>
      </c>
      <c r="I82" s="1">
        <f t="shared" si="86"/>
        <v>200</v>
      </c>
      <c r="J82" s="1">
        <f t="shared" si="86"/>
        <v>200</v>
      </c>
      <c r="K82" s="1">
        <f t="shared" si="86"/>
        <v>200</v>
      </c>
      <c r="L82" s="1">
        <f t="shared" si="86"/>
        <v>200</v>
      </c>
      <c r="M82" s="1">
        <f t="shared" si="86"/>
        <v>200</v>
      </c>
      <c r="N82" s="1">
        <f t="shared" si="86"/>
        <v>200</v>
      </c>
      <c r="O82" s="1">
        <f t="shared" si="86"/>
        <v>200</v>
      </c>
      <c r="P82" s="1">
        <f t="shared" si="86"/>
        <v>200</v>
      </c>
      <c r="Q82" s="1">
        <v>500</v>
      </c>
      <c r="R82" s="1">
        <f t="shared" si="86"/>
        <v>500</v>
      </c>
      <c r="S82" s="1">
        <f t="shared" si="86"/>
        <v>500</v>
      </c>
      <c r="T82" s="1">
        <f t="shared" si="86"/>
        <v>500</v>
      </c>
      <c r="U82" s="1">
        <v>150</v>
      </c>
      <c r="V82" s="1">
        <f>U82</f>
        <v>150</v>
      </c>
      <c r="W82" s="1">
        <f t="shared" si="87"/>
        <v>150</v>
      </c>
      <c r="X82" s="1">
        <f t="shared" si="87"/>
        <v>150</v>
      </c>
      <c r="Y82" s="1">
        <f t="shared" si="87"/>
        <v>150</v>
      </c>
      <c r="Z82" s="1">
        <f t="shared" si="89"/>
        <v>150</v>
      </c>
      <c r="AA82" s="1">
        <f t="shared" si="89"/>
        <v>150</v>
      </c>
      <c r="AB82" s="1">
        <f t="shared" si="89"/>
        <v>150</v>
      </c>
      <c r="AC82" s="1">
        <f t="shared" si="89"/>
        <v>150</v>
      </c>
      <c r="AD82" s="1">
        <f t="shared" si="89"/>
        <v>150</v>
      </c>
      <c r="AE82" s="1">
        <f t="shared" si="89"/>
        <v>150</v>
      </c>
      <c r="AF82" s="1">
        <f t="shared" si="89"/>
        <v>150</v>
      </c>
      <c r="AG82" s="1">
        <f t="shared" si="89"/>
        <v>150</v>
      </c>
      <c r="AH82" s="1">
        <f t="shared" si="89"/>
        <v>150</v>
      </c>
      <c r="AI82" s="1">
        <f t="shared" si="89"/>
        <v>150</v>
      </c>
      <c r="AJ82" s="1">
        <f t="shared" si="89"/>
        <v>150</v>
      </c>
      <c r="AK82" s="1">
        <f t="shared" si="88"/>
        <v>150</v>
      </c>
      <c r="AL82" s="1">
        <f t="shared" si="88"/>
        <v>150</v>
      </c>
      <c r="AM82" s="1">
        <f t="shared" si="88"/>
        <v>150</v>
      </c>
      <c r="AN82" s="1">
        <f t="shared" si="88"/>
        <v>150</v>
      </c>
      <c r="AO82" s="1">
        <f t="shared" si="88"/>
        <v>150</v>
      </c>
      <c r="AP82" s="1">
        <f t="shared" si="88"/>
        <v>150</v>
      </c>
      <c r="AQ82" s="72">
        <f t="shared" si="88"/>
        <v>150</v>
      </c>
      <c r="AR82" s="72">
        <f t="shared" si="88"/>
        <v>150</v>
      </c>
      <c r="AS82" s="72">
        <f t="shared" si="88"/>
        <v>150</v>
      </c>
      <c r="AT82" s="72">
        <f t="shared" si="88"/>
        <v>150</v>
      </c>
      <c r="AU82" s="72">
        <f t="shared" si="88"/>
        <v>150</v>
      </c>
      <c r="AV82" s="72">
        <f t="shared" si="88"/>
        <v>150</v>
      </c>
      <c r="AW82" s="72">
        <f t="shared" si="88"/>
        <v>150</v>
      </c>
      <c r="AX82" s="72">
        <f t="shared" si="88"/>
        <v>150</v>
      </c>
      <c r="AY82" s="72"/>
    </row>
    <row r="83" spans="1:51" ht="15.75" hidden="1" customHeight="1" x14ac:dyDescent="0.25">
      <c r="A83" s="71" t="s">
        <v>43</v>
      </c>
      <c r="B83" s="19"/>
      <c r="C83" s="1"/>
      <c r="D83" s="1"/>
      <c r="E83" s="1"/>
      <c r="F83" s="1">
        <v>340</v>
      </c>
      <c r="G83" s="1">
        <v>300</v>
      </c>
      <c r="H83" s="1">
        <f>G83</f>
        <v>300</v>
      </c>
      <c r="I83" s="1">
        <f t="shared" si="86"/>
        <v>300</v>
      </c>
      <c r="J83" s="1">
        <f t="shared" si="86"/>
        <v>300</v>
      </c>
      <c r="K83" s="1">
        <f t="shared" si="86"/>
        <v>300</v>
      </c>
      <c r="L83" s="1">
        <f t="shared" si="86"/>
        <v>300</v>
      </c>
      <c r="M83" s="1">
        <f t="shared" si="86"/>
        <v>300</v>
      </c>
      <c r="N83" s="1">
        <f t="shared" si="86"/>
        <v>300</v>
      </c>
      <c r="O83" s="1">
        <f t="shared" si="86"/>
        <v>300</v>
      </c>
      <c r="P83" s="1">
        <f t="shared" si="86"/>
        <v>300</v>
      </c>
      <c r="Q83" s="1">
        <v>500</v>
      </c>
      <c r="R83" s="1">
        <f t="shared" si="86"/>
        <v>500</v>
      </c>
      <c r="S83" s="1">
        <f t="shared" si="86"/>
        <v>500</v>
      </c>
      <c r="T83" s="1">
        <f t="shared" si="86"/>
        <v>500</v>
      </c>
      <c r="U83" s="1">
        <v>1128</v>
      </c>
      <c r="V83" s="1">
        <v>1200</v>
      </c>
      <c r="W83" s="1">
        <f t="shared" si="87"/>
        <v>1200</v>
      </c>
      <c r="X83" s="1">
        <f t="shared" si="87"/>
        <v>1200</v>
      </c>
      <c r="Y83" s="1">
        <f t="shared" si="87"/>
        <v>1200</v>
      </c>
      <c r="Z83" s="1">
        <f t="shared" si="89"/>
        <v>1200</v>
      </c>
      <c r="AA83" s="1">
        <f t="shared" si="89"/>
        <v>1200</v>
      </c>
      <c r="AB83" s="1">
        <f t="shared" si="89"/>
        <v>1200</v>
      </c>
      <c r="AC83" s="1">
        <f t="shared" si="89"/>
        <v>1200</v>
      </c>
      <c r="AD83" s="1">
        <f t="shared" si="89"/>
        <v>1200</v>
      </c>
      <c r="AE83" s="1">
        <f t="shared" si="89"/>
        <v>1200</v>
      </c>
      <c r="AF83" s="1">
        <f>AE83+22000</f>
        <v>23200</v>
      </c>
      <c r="AG83" s="1">
        <f>AE83</f>
        <v>1200</v>
      </c>
      <c r="AH83" s="1">
        <f t="shared" si="89"/>
        <v>1200</v>
      </c>
      <c r="AI83" s="1">
        <f t="shared" si="89"/>
        <v>1200</v>
      </c>
      <c r="AJ83" s="1">
        <f t="shared" si="89"/>
        <v>1200</v>
      </c>
      <c r="AK83" s="1">
        <f t="shared" si="88"/>
        <v>1200</v>
      </c>
      <c r="AL83" s="1">
        <f t="shared" si="88"/>
        <v>1200</v>
      </c>
      <c r="AM83" s="1">
        <f t="shared" si="88"/>
        <v>1200</v>
      </c>
      <c r="AN83" s="1">
        <f t="shared" si="88"/>
        <v>1200</v>
      </c>
      <c r="AO83" s="1">
        <f t="shared" si="88"/>
        <v>1200</v>
      </c>
      <c r="AP83" s="1">
        <f t="shared" si="88"/>
        <v>1200</v>
      </c>
      <c r="AQ83" s="72">
        <f t="shared" si="88"/>
        <v>1200</v>
      </c>
      <c r="AR83" s="72">
        <f t="shared" si="88"/>
        <v>1200</v>
      </c>
      <c r="AS83" s="72">
        <f t="shared" si="88"/>
        <v>1200</v>
      </c>
      <c r="AT83" s="72">
        <f t="shared" si="88"/>
        <v>1200</v>
      </c>
      <c r="AU83" s="72">
        <f t="shared" si="88"/>
        <v>1200</v>
      </c>
      <c r="AV83" s="72">
        <f t="shared" si="88"/>
        <v>1200</v>
      </c>
      <c r="AW83" s="72">
        <f t="shared" si="88"/>
        <v>1200</v>
      </c>
      <c r="AX83" s="72">
        <f t="shared" si="88"/>
        <v>1200</v>
      </c>
      <c r="AY83" s="72"/>
    </row>
    <row r="84" spans="1:51" ht="15.75" hidden="1" customHeight="1" x14ac:dyDescent="0.25">
      <c r="A84" s="71" t="s">
        <v>145</v>
      </c>
      <c r="B84" s="19"/>
      <c r="C84" s="1"/>
      <c r="D84" s="1"/>
      <c r="E84" s="1"/>
      <c r="F84" s="1">
        <v>75</v>
      </c>
      <c r="G84" s="1">
        <v>50</v>
      </c>
      <c r="H84" s="1">
        <f>G84</f>
        <v>50</v>
      </c>
      <c r="I84" s="1">
        <f t="shared" si="86"/>
        <v>50</v>
      </c>
      <c r="J84" s="1">
        <f t="shared" si="86"/>
        <v>50</v>
      </c>
      <c r="K84" s="1">
        <f t="shared" si="86"/>
        <v>50</v>
      </c>
      <c r="L84" s="1">
        <f t="shared" si="86"/>
        <v>50</v>
      </c>
      <c r="M84" s="1">
        <f t="shared" si="86"/>
        <v>50</v>
      </c>
      <c r="N84" s="1">
        <f t="shared" si="86"/>
        <v>50</v>
      </c>
      <c r="O84" s="1">
        <f t="shared" si="86"/>
        <v>50</v>
      </c>
      <c r="P84" s="1">
        <f t="shared" si="86"/>
        <v>50</v>
      </c>
      <c r="Q84" s="1">
        <f t="shared" si="86"/>
        <v>50</v>
      </c>
      <c r="R84" s="1">
        <f t="shared" si="86"/>
        <v>50</v>
      </c>
      <c r="S84" s="1">
        <f t="shared" si="86"/>
        <v>50</v>
      </c>
      <c r="T84" s="1">
        <f t="shared" si="86"/>
        <v>50</v>
      </c>
      <c r="U84" s="1">
        <f t="shared" si="86"/>
        <v>50</v>
      </c>
      <c r="V84" s="1">
        <f>U84</f>
        <v>50</v>
      </c>
      <c r="W84" s="1">
        <f t="shared" si="87"/>
        <v>50</v>
      </c>
      <c r="X84" s="1">
        <f t="shared" si="87"/>
        <v>50</v>
      </c>
      <c r="Y84" s="1">
        <f t="shared" si="87"/>
        <v>50</v>
      </c>
      <c r="Z84" s="1">
        <f t="shared" si="89"/>
        <v>50</v>
      </c>
      <c r="AA84" s="1">
        <f t="shared" si="89"/>
        <v>50</v>
      </c>
      <c r="AB84" s="1">
        <f t="shared" si="89"/>
        <v>50</v>
      </c>
      <c r="AC84" s="1">
        <f t="shared" si="89"/>
        <v>50</v>
      </c>
      <c r="AD84" s="1">
        <f t="shared" si="89"/>
        <v>50</v>
      </c>
      <c r="AE84" s="1">
        <f t="shared" si="89"/>
        <v>50</v>
      </c>
      <c r="AF84" s="1">
        <f t="shared" si="89"/>
        <v>50</v>
      </c>
      <c r="AG84" s="1">
        <f t="shared" si="89"/>
        <v>50</v>
      </c>
      <c r="AH84" s="1">
        <f t="shared" si="89"/>
        <v>50</v>
      </c>
      <c r="AI84" s="1">
        <f t="shared" si="89"/>
        <v>50</v>
      </c>
      <c r="AJ84" s="1">
        <f t="shared" si="89"/>
        <v>50</v>
      </c>
      <c r="AK84" s="1">
        <f t="shared" si="88"/>
        <v>50</v>
      </c>
      <c r="AL84" s="1">
        <f t="shared" si="88"/>
        <v>50</v>
      </c>
      <c r="AM84" s="1">
        <f t="shared" si="88"/>
        <v>50</v>
      </c>
      <c r="AN84" s="1">
        <f t="shared" si="88"/>
        <v>50</v>
      </c>
      <c r="AO84" s="1">
        <f t="shared" si="88"/>
        <v>50</v>
      </c>
      <c r="AP84" s="1">
        <f t="shared" si="88"/>
        <v>50</v>
      </c>
      <c r="AQ84" s="72">
        <f t="shared" si="88"/>
        <v>50</v>
      </c>
      <c r="AR84" s="72">
        <f t="shared" si="88"/>
        <v>50</v>
      </c>
      <c r="AS84" s="72">
        <f t="shared" si="88"/>
        <v>50</v>
      </c>
      <c r="AT84" s="72">
        <f t="shared" si="88"/>
        <v>50</v>
      </c>
      <c r="AU84" s="72">
        <f t="shared" si="88"/>
        <v>50</v>
      </c>
      <c r="AV84" s="72">
        <f t="shared" si="88"/>
        <v>50</v>
      </c>
      <c r="AW84" s="72">
        <f t="shared" si="88"/>
        <v>50</v>
      </c>
      <c r="AX84" s="72">
        <f t="shared" si="88"/>
        <v>50</v>
      </c>
      <c r="AY84" s="72"/>
    </row>
    <row r="85" spans="1:51" ht="15.75" hidden="1" customHeight="1" x14ac:dyDescent="0.25">
      <c r="A85" s="71" t="s">
        <v>46</v>
      </c>
      <c r="B85" s="19"/>
      <c r="C85" s="1"/>
      <c r="D85" s="1"/>
      <c r="E85" s="1"/>
      <c r="F85" s="1">
        <v>100</v>
      </c>
      <c r="G85" s="1">
        <f>F85</f>
        <v>100</v>
      </c>
      <c r="H85" s="1">
        <f>G85</f>
        <v>100</v>
      </c>
      <c r="I85" s="1">
        <f>H85</f>
        <v>100</v>
      </c>
      <c r="J85" s="1">
        <f>500</f>
        <v>500</v>
      </c>
      <c r="K85" s="1">
        <f>500</f>
        <v>500</v>
      </c>
      <c r="L85" s="1">
        <f>500</f>
        <v>500</v>
      </c>
      <c r="M85" s="1">
        <f>500</f>
        <v>500</v>
      </c>
      <c r="N85" s="1">
        <f>500</f>
        <v>500</v>
      </c>
      <c r="O85" s="1">
        <f>500</f>
        <v>500</v>
      </c>
      <c r="P85" s="1">
        <f>500</f>
        <v>500</v>
      </c>
      <c r="Q85" s="1">
        <f>500</f>
        <v>500</v>
      </c>
      <c r="R85" s="1">
        <f>500</f>
        <v>500</v>
      </c>
      <c r="S85" s="1">
        <f>500</f>
        <v>500</v>
      </c>
      <c r="T85" s="1">
        <f>500</f>
        <v>500</v>
      </c>
      <c r="U85" s="1">
        <f>500</f>
        <v>500</v>
      </c>
      <c r="V85" s="1">
        <f>500</f>
        <v>500</v>
      </c>
      <c r="W85" s="1">
        <f>500</f>
        <v>500</v>
      </c>
      <c r="X85" s="1">
        <f>500</f>
        <v>500</v>
      </c>
      <c r="Y85" s="1">
        <f>500</f>
        <v>500</v>
      </c>
      <c r="Z85" s="1">
        <f>500</f>
        <v>500</v>
      </c>
      <c r="AA85" s="1">
        <f>500</f>
        <v>500</v>
      </c>
      <c r="AB85" s="1">
        <f>500</f>
        <v>500</v>
      </c>
      <c r="AC85" s="1">
        <f>500</f>
        <v>500</v>
      </c>
      <c r="AD85" s="1">
        <f>500</f>
        <v>500</v>
      </c>
      <c r="AE85" s="1">
        <f>500</f>
        <v>500</v>
      </c>
      <c r="AF85" s="1">
        <f>500</f>
        <v>500</v>
      </c>
      <c r="AG85" s="1">
        <f>500</f>
        <v>500</v>
      </c>
      <c r="AH85" s="1">
        <f>500</f>
        <v>500</v>
      </c>
      <c r="AI85" s="1">
        <f>500</f>
        <v>500</v>
      </c>
      <c r="AJ85" s="1">
        <f>500</f>
        <v>500</v>
      </c>
      <c r="AK85" s="1">
        <f>500</f>
        <v>500</v>
      </c>
      <c r="AL85" s="1">
        <f>500</f>
        <v>500</v>
      </c>
      <c r="AM85" s="1">
        <f>500</f>
        <v>500</v>
      </c>
      <c r="AN85" s="1">
        <f>500</f>
        <v>500</v>
      </c>
      <c r="AO85" s="1">
        <f>500</f>
        <v>500</v>
      </c>
      <c r="AP85" s="1">
        <f>500</f>
        <v>500</v>
      </c>
      <c r="AQ85" s="72">
        <f>500</f>
        <v>500</v>
      </c>
      <c r="AR85" s="72">
        <f>500</f>
        <v>500</v>
      </c>
      <c r="AS85" s="72">
        <f>500</f>
        <v>500</v>
      </c>
      <c r="AT85" s="72">
        <f>500</f>
        <v>500</v>
      </c>
      <c r="AU85" s="72">
        <f>500</f>
        <v>500</v>
      </c>
      <c r="AV85" s="72">
        <f>500</f>
        <v>500</v>
      </c>
      <c r="AW85" s="72">
        <f>500</f>
        <v>500</v>
      </c>
      <c r="AX85" s="72">
        <f>500</f>
        <v>500</v>
      </c>
      <c r="AY85" s="72"/>
    </row>
    <row r="86" spans="1:51" ht="15.75" hidden="1" customHeight="1" x14ac:dyDescent="0.25">
      <c r="A86" s="71" t="s">
        <v>48</v>
      </c>
      <c r="B86" s="19"/>
      <c r="C86" s="1"/>
      <c r="D86" s="1"/>
      <c r="E86" s="1"/>
      <c r="F86" s="1">
        <v>385</v>
      </c>
      <c r="G86" s="1">
        <v>50</v>
      </c>
      <c r="H86" s="1">
        <f>G86</f>
        <v>50</v>
      </c>
      <c r="I86" s="1">
        <f>H86</f>
        <v>50</v>
      </c>
      <c r="J86" s="1">
        <f t="shared" ref="J86:O86" si="90">I86</f>
        <v>50</v>
      </c>
      <c r="K86" s="1">
        <f t="shared" si="90"/>
        <v>50</v>
      </c>
      <c r="L86" s="1">
        <f t="shared" si="90"/>
        <v>50</v>
      </c>
      <c r="M86" s="1">
        <f t="shared" si="90"/>
        <v>50</v>
      </c>
      <c r="N86" s="1">
        <f t="shared" si="90"/>
        <v>50</v>
      </c>
      <c r="O86" s="1">
        <f t="shared" si="90"/>
        <v>50</v>
      </c>
      <c r="P86" s="1">
        <f>O86</f>
        <v>50</v>
      </c>
      <c r="Q86" s="1">
        <v>200</v>
      </c>
      <c r="R86" s="1">
        <f>Q86</f>
        <v>200</v>
      </c>
      <c r="S86" s="1">
        <f>R86</f>
        <v>200</v>
      </c>
      <c r="T86" s="1">
        <f>S86</f>
        <v>200</v>
      </c>
      <c r="U86" s="1">
        <v>177.4</v>
      </c>
      <c r="V86" s="1">
        <f t="shared" ref="V86:AJ86" si="91">U86</f>
        <v>177.4</v>
      </c>
      <c r="W86" s="1">
        <f t="shared" si="91"/>
        <v>177.4</v>
      </c>
      <c r="X86" s="1">
        <f t="shared" si="91"/>
        <v>177.4</v>
      </c>
      <c r="Y86" s="1">
        <f t="shared" si="91"/>
        <v>177.4</v>
      </c>
      <c r="Z86" s="1">
        <f t="shared" si="91"/>
        <v>177.4</v>
      </c>
      <c r="AA86" s="1">
        <f t="shared" si="91"/>
        <v>177.4</v>
      </c>
      <c r="AB86" s="1">
        <f t="shared" si="91"/>
        <v>177.4</v>
      </c>
      <c r="AC86" s="1">
        <f t="shared" si="91"/>
        <v>177.4</v>
      </c>
      <c r="AD86" s="1">
        <f t="shared" si="91"/>
        <v>177.4</v>
      </c>
      <c r="AE86" s="1">
        <f t="shared" si="91"/>
        <v>177.4</v>
      </c>
      <c r="AF86" s="1">
        <f t="shared" si="91"/>
        <v>177.4</v>
      </c>
      <c r="AG86" s="1">
        <f t="shared" si="91"/>
        <v>177.4</v>
      </c>
      <c r="AH86" s="1">
        <f t="shared" si="91"/>
        <v>177.4</v>
      </c>
      <c r="AI86" s="1">
        <f t="shared" si="91"/>
        <v>177.4</v>
      </c>
      <c r="AJ86" s="1">
        <f t="shared" si="91"/>
        <v>177.4</v>
      </c>
      <c r="AK86" s="1">
        <f t="shared" ref="AK86:AX90" si="92">AJ86</f>
        <v>177.4</v>
      </c>
      <c r="AL86" s="1">
        <f t="shared" si="92"/>
        <v>177.4</v>
      </c>
      <c r="AM86" s="1">
        <f t="shared" si="92"/>
        <v>177.4</v>
      </c>
      <c r="AN86" s="1">
        <f t="shared" si="92"/>
        <v>177.4</v>
      </c>
      <c r="AO86" s="1">
        <f t="shared" si="92"/>
        <v>177.4</v>
      </c>
      <c r="AP86" s="1">
        <f t="shared" si="92"/>
        <v>177.4</v>
      </c>
      <c r="AQ86" s="72">
        <f t="shared" si="92"/>
        <v>177.4</v>
      </c>
      <c r="AR86" s="72">
        <f t="shared" si="92"/>
        <v>177.4</v>
      </c>
      <c r="AS86" s="72">
        <f t="shared" si="92"/>
        <v>177.4</v>
      </c>
      <c r="AT86" s="72">
        <f t="shared" si="92"/>
        <v>177.4</v>
      </c>
      <c r="AU86" s="72">
        <f t="shared" si="92"/>
        <v>177.4</v>
      </c>
      <c r="AV86" s="72">
        <f t="shared" si="92"/>
        <v>177.4</v>
      </c>
      <c r="AW86" s="72">
        <f t="shared" si="92"/>
        <v>177.4</v>
      </c>
      <c r="AX86" s="72">
        <f t="shared" si="92"/>
        <v>177.4</v>
      </c>
      <c r="AY86" s="72"/>
    </row>
    <row r="87" spans="1:51" ht="15.75" hidden="1" customHeight="1" x14ac:dyDescent="0.25">
      <c r="A87" s="71" t="s">
        <v>50</v>
      </c>
      <c r="B87" s="19"/>
      <c r="C87" s="1"/>
      <c r="D87" s="1"/>
      <c r="E87" s="1"/>
      <c r="F87" s="1"/>
      <c r="G87" s="1">
        <f>125+175</f>
        <v>300</v>
      </c>
      <c r="H87" s="1">
        <v>125</v>
      </c>
      <c r="I87" s="1">
        <f>125+100</f>
        <v>225</v>
      </c>
      <c r="J87" s="1">
        <f>125</f>
        <v>125</v>
      </c>
      <c r="K87" s="1">
        <f>125</f>
        <v>125</v>
      </c>
      <c r="L87" s="1">
        <f>225</f>
        <v>225</v>
      </c>
      <c r="M87" s="1">
        <f>125</f>
        <v>125</v>
      </c>
      <c r="N87" s="1">
        <f>125</f>
        <v>125</v>
      </c>
      <c r="O87" s="1">
        <f>125</f>
        <v>125</v>
      </c>
      <c r="P87" s="1">
        <f>125</f>
        <v>125</v>
      </c>
      <c r="Q87" s="1">
        <f>130</f>
        <v>130</v>
      </c>
      <c r="R87" s="1">
        <f>125</f>
        <v>125</v>
      </c>
      <c r="S87" s="1">
        <f>125</f>
        <v>125</v>
      </c>
      <c r="T87" s="1">
        <f>125</f>
        <v>125</v>
      </c>
      <c r="U87" s="1">
        <v>230</v>
      </c>
      <c r="V87" s="1">
        <f>125</f>
        <v>125</v>
      </c>
      <c r="W87" s="1">
        <f>125</f>
        <v>125</v>
      </c>
      <c r="X87" s="1">
        <v>230</v>
      </c>
      <c r="Y87" s="1">
        <f>125</f>
        <v>125</v>
      </c>
      <c r="Z87" s="1">
        <f>125</f>
        <v>125</v>
      </c>
      <c r="AA87" s="1">
        <f>125</f>
        <v>125</v>
      </c>
      <c r="AB87" s="1">
        <f>125</f>
        <v>125</v>
      </c>
      <c r="AC87" s="1">
        <f>125</f>
        <v>125</v>
      </c>
      <c r="AD87" s="1">
        <f>125</f>
        <v>125</v>
      </c>
      <c r="AE87" s="1">
        <v>135</v>
      </c>
      <c r="AF87" s="1">
        <f>AE87+20000</f>
        <v>20135</v>
      </c>
      <c r="AG87" s="1">
        <f>AE87+12000</f>
        <v>12135</v>
      </c>
      <c r="AH87" s="1">
        <f>AE87+13000</f>
        <v>13135</v>
      </c>
      <c r="AI87" s="1">
        <f>AH87-13000</f>
        <v>135</v>
      </c>
      <c r="AJ87" s="1">
        <f t="shared" ref="AJ87" si="93">AI87</f>
        <v>135</v>
      </c>
      <c r="AK87" s="1">
        <f t="shared" si="92"/>
        <v>135</v>
      </c>
      <c r="AL87" s="1">
        <f t="shared" si="92"/>
        <v>135</v>
      </c>
      <c r="AM87" s="1">
        <f t="shared" si="92"/>
        <v>135</v>
      </c>
      <c r="AN87" s="1">
        <f t="shared" si="92"/>
        <v>135</v>
      </c>
      <c r="AO87" s="1">
        <f t="shared" si="92"/>
        <v>135</v>
      </c>
      <c r="AP87" s="1">
        <f t="shared" si="92"/>
        <v>135</v>
      </c>
      <c r="AQ87" s="72">
        <f t="shared" si="92"/>
        <v>135</v>
      </c>
      <c r="AR87" s="72">
        <f t="shared" si="92"/>
        <v>135</v>
      </c>
      <c r="AS87" s="72">
        <f t="shared" si="92"/>
        <v>135</v>
      </c>
      <c r="AT87" s="72">
        <f t="shared" si="92"/>
        <v>135</v>
      </c>
      <c r="AU87" s="72">
        <f t="shared" si="92"/>
        <v>135</v>
      </c>
      <c r="AV87" s="72">
        <f t="shared" si="92"/>
        <v>135</v>
      </c>
      <c r="AW87" s="72">
        <f t="shared" si="92"/>
        <v>135</v>
      </c>
      <c r="AX87" s="72">
        <f t="shared" si="92"/>
        <v>135</v>
      </c>
      <c r="AY87" s="72"/>
    </row>
    <row r="88" spans="1:51" ht="15.75" hidden="1" customHeight="1" x14ac:dyDescent="0.25">
      <c r="A88" s="71" t="s">
        <v>78</v>
      </c>
      <c r="B88" s="19"/>
      <c r="C88" s="1"/>
      <c r="D88" s="1"/>
      <c r="E88" s="1"/>
      <c r="F88" s="1">
        <v>0</v>
      </c>
      <c r="G88" s="1">
        <f>7005+11490+11490</f>
        <v>29985</v>
      </c>
      <c r="H88" s="1">
        <v>10000</v>
      </c>
      <c r="I88" s="1">
        <f t="shared" ref="I88:T88" si="94">H88</f>
        <v>10000</v>
      </c>
      <c r="J88" s="1">
        <f t="shared" si="94"/>
        <v>10000</v>
      </c>
      <c r="K88" s="1">
        <f t="shared" si="94"/>
        <v>10000</v>
      </c>
      <c r="L88" s="1">
        <f t="shared" si="94"/>
        <v>10000</v>
      </c>
      <c r="M88" s="1">
        <f t="shared" si="94"/>
        <v>10000</v>
      </c>
      <c r="N88" s="1">
        <f t="shared" si="94"/>
        <v>10000</v>
      </c>
      <c r="O88" s="1">
        <f t="shared" si="94"/>
        <v>10000</v>
      </c>
      <c r="P88" s="1">
        <f t="shared" si="94"/>
        <v>10000</v>
      </c>
      <c r="Q88" s="1">
        <v>1500</v>
      </c>
      <c r="R88" s="1">
        <f t="shared" si="94"/>
        <v>1500</v>
      </c>
      <c r="S88" s="1">
        <f t="shared" si="94"/>
        <v>1500</v>
      </c>
      <c r="T88" s="1">
        <f t="shared" si="94"/>
        <v>1500</v>
      </c>
      <c r="U88" s="1">
        <v>1904.53</v>
      </c>
      <c r="V88" s="1">
        <f t="shared" ref="V88:AJ90" si="95">U88</f>
        <v>1904.53</v>
      </c>
      <c r="W88" s="1">
        <f t="shared" si="95"/>
        <v>1904.53</v>
      </c>
      <c r="X88" s="1">
        <f t="shared" si="95"/>
        <v>1904.53</v>
      </c>
      <c r="Y88" s="1">
        <f t="shared" si="95"/>
        <v>1904.53</v>
      </c>
      <c r="Z88" s="1">
        <f t="shared" si="95"/>
        <v>1904.53</v>
      </c>
      <c r="AA88" s="1">
        <f t="shared" si="95"/>
        <v>1904.53</v>
      </c>
      <c r="AB88" s="1">
        <f t="shared" si="95"/>
        <v>1904.53</v>
      </c>
      <c r="AC88" s="1">
        <f t="shared" si="95"/>
        <v>1904.53</v>
      </c>
      <c r="AD88" s="1">
        <f t="shared" si="95"/>
        <v>1904.53</v>
      </c>
      <c r="AE88" s="1">
        <f t="shared" si="95"/>
        <v>1904.53</v>
      </c>
      <c r="AF88" s="1">
        <f t="shared" si="95"/>
        <v>1904.53</v>
      </c>
      <c r="AG88" s="1">
        <f t="shared" si="95"/>
        <v>1904.53</v>
      </c>
      <c r="AH88" s="1">
        <f t="shared" si="95"/>
        <v>1904.53</v>
      </c>
      <c r="AI88" s="1">
        <f t="shared" si="95"/>
        <v>1904.53</v>
      </c>
      <c r="AJ88" s="1">
        <f t="shared" si="95"/>
        <v>1904.53</v>
      </c>
      <c r="AK88" s="1">
        <f t="shared" si="92"/>
        <v>1904.53</v>
      </c>
      <c r="AL88" s="1">
        <f t="shared" si="92"/>
        <v>1904.53</v>
      </c>
      <c r="AM88" s="1">
        <f t="shared" si="92"/>
        <v>1904.53</v>
      </c>
      <c r="AN88" s="1">
        <f t="shared" si="92"/>
        <v>1904.53</v>
      </c>
      <c r="AO88" s="1">
        <f t="shared" si="92"/>
        <v>1904.53</v>
      </c>
      <c r="AP88" s="1">
        <f t="shared" si="92"/>
        <v>1904.53</v>
      </c>
      <c r="AQ88" s="72">
        <f t="shared" si="92"/>
        <v>1904.53</v>
      </c>
      <c r="AR88" s="72">
        <f t="shared" si="92"/>
        <v>1904.53</v>
      </c>
      <c r="AS88" s="72">
        <f t="shared" si="92"/>
        <v>1904.53</v>
      </c>
      <c r="AT88" s="72">
        <f t="shared" si="92"/>
        <v>1904.53</v>
      </c>
      <c r="AU88" s="72">
        <f t="shared" si="92"/>
        <v>1904.53</v>
      </c>
      <c r="AV88" s="72">
        <f t="shared" si="92"/>
        <v>1904.53</v>
      </c>
      <c r="AW88" s="72">
        <f t="shared" si="92"/>
        <v>1904.53</v>
      </c>
      <c r="AX88" s="72">
        <f t="shared" si="92"/>
        <v>1904.53</v>
      </c>
      <c r="AY88" s="72"/>
    </row>
    <row r="89" spans="1:51" ht="15.75" hidden="1" customHeight="1" x14ac:dyDescent="0.25">
      <c r="A89" s="71" t="s">
        <v>127</v>
      </c>
      <c r="B89" s="19"/>
      <c r="C89" s="1"/>
      <c r="D89" s="1"/>
      <c r="E89" s="1"/>
      <c r="F89" s="1">
        <v>0</v>
      </c>
      <c r="G89" s="1">
        <f>F89</f>
        <v>0</v>
      </c>
      <c r="H89" s="1">
        <f t="shared" ref="H89:U90" si="96">G89</f>
        <v>0</v>
      </c>
      <c r="I89" s="1">
        <f t="shared" si="96"/>
        <v>0</v>
      </c>
      <c r="J89" s="1">
        <f t="shared" si="96"/>
        <v>0</v>
      </c>
      <c r="K89" s="1">
        <f t="shared" si="96"/>
        <v>0</v>
      </c>
      <c r="L89" s="1">
        <f t="shared" si="96"/>
        <v>0</v>
      </c>
      <c r="M89" s="1">
        <f t="shared" si="96"/>
        <v>0</v>
      </c>
      <c r="N89" s="1">
        <f t="shared" si="96"/>
        <v>0</v>
      </c>
      <c r="O89" s="1">
        <f t="shared" si="96"/>
        <v>0</v>
      </c>
      <c r="P89" s="1">
        <f t="shared" si="96"/>
        <v>0</v>
      </c>
      <c r="Q89" s="1">
        <f t="shared" si="96"/>
        <v>0</v>
      </c>
      <c r="R89" s="1">
        <f t="shared" si="96"/>
        <v>0</v>
      </c>
      <c r="S89" s="1">
        <f t="shared" si="96"/>
        <v>0</v>
      </c>
      <c r="T89" s="1">
        <f t="shared" si="96"/>
        <v>0</v>
      </c>
      <c r="U89" s="1">
        <f t="shared" si="96"/>
        <v>0</v>
      </c>
      <c r="V89" s="1">
        <f t="shared" si="95"/>
        <v>0</v>
      </c>
      <c r="W89" s="1">
        <f t="shared" si="95"/>
        <v>0</v>
      </c>
      <c r="X89" s="1">
        <f t="shared" si="95"/>
        <v>0</v>
      </c>
      <c r="Y89" s="1">
        <f t="shared" si="95"/>
        <v>0</v>
      </c>
      <c r="Z89" s="1">
        <f t="shared" si="95"/>
        <v>0</v>
      </c>
      <c r="AA89" s="1">
        <f t="shared" si="95"/>
        <v>0</v>
      </c>
      <c r="AB89" s="1">
        <f t="shared" si="95"/>
        <v>0</v>
      </c>
      <c r="AC89" s="1">
        <f t="shared" si="95"/>
        <v>0</v>
      </c>
      <c r="AD89" s="1">
        <f t="shared" si="95"/>
        <v>0</v>
      </c>
      <c r="AE89" s="1">
        <f t="shared" si="95"/>
        <v>0</v>
      </c>
      <c r="AF89" s="1">
        <f t="shared" si="95"/>
        <v>0</v>
      </c>
      <c r="AG89" s="1">
        <f t="shared" si="95"/>
        <v>0</v>
      </c>
      <c r="AH89" s="1">
        <f t="shared" si="95"/>
        <v>0</v>
      </c>
      <c r="AI89" s="1">
        <f t="shared" si="95"/>
        <v>0</v>
      </c>
      <c r="AJ89" s="1">
        <f t="shared" si="95"/>
        <v>0</v>
      </c>
      <c r="AK89" s="1">
        <f t="shared" si="92"/>
        <v>0</v>
      </c>
      <c r="AL89" s="1">
        <f t="shared" si="92"/>
        <v>0</v>
      </c>
      <c r="AM89" s="1">
        <f t="shared" si="92"/>
        <v>0</v>
      </c>
      <c r="AN89" s="1">
        <f t="shared" si="92"/>
        <v>0</v>
      </c>
      <c r="AO89" s="1">
        <f t="shared" si="92"/>
        <v>0</v>
      </c>
      <c r="AP89" s="1">
        <f t="shared" si="92"/>
        <v>0</v>
      </c>
      <c r="AQ89" s="72">
        <f t="shared" si="92"/>
        <v>0</v>
      </c>
      <c r="AR89" s="72">
        <f t="shared" si="92"/>
        <v>0</v>
      </c>
      <c r="AS89" s="72">
        <f t="shared" si="92"/>
        <v>0</v>
      </c>
      <c r="AT89" s="72">
        <f t="shared" si="92"/>
        <v>0</v>
      </c>
      <c r="AU89" s="72">
        <f t="shared" si="92"/>
        <v>0</v>
      </c>
      <c r="AV89" s="72">
        <f t="shared" si="92"/>
        <v>0</v>
      </c>
      <c r="AW89" s="72">
        <f t="shared" si="92"/>
        <v>0</v>
      </c>
      <c r="AX89" s="72">
        <f t="shared" si="92"/>
        <v>0</v>
      </c>
      <c r="AY89" s="72"/>
    </row>
    <row r="90" spans="1:51" ht="15.75" hidden="1" customHeight="1" x14ac:dyDescent="0.25">
      <c r="A90" s="71" t="s">
        <v>52</v>
      </c>
      <c r="B90" s="19"/>
      <c r="C90" s="1"/>
      <c r="D90" s="1"/>
      <c r="E90" s="1"/>
      <c r="F90" s="1">
        <v>1374.62</v>
      </c>
      <c r="G90" s="1">
        <f>100</f>
        <v>100</v>
      </c>
      <c r="H90" s="1">
        <f>150</f>
        <v>150</v>
      </c>
      <c r="I90" s="1">
        <f t="shared" si="96"/>
        <v>150</v>
      </c>
      <c r="J90" s="1">
        <f t="shared" si="96"/>
        <v>150</v>
      </c>
      <c r="K90" s="1">
        <f t="shared" si="96"/>
        <v>150</v>
      </c>
      <c r="L90" s="1">
        <f t="shared" si="96"/>
        <v>150</v>
      </c>
      <c r="M90" s="1">
        <f t="shared" si="96"/>
        <v>150</v>
      </c>
      <c r="N90" s="1">
        <f t="shared" si="96"/>
        <v>150</v>
      </c>
      <c r="O90" s="1">
        <f t="shared" si="96"/>
        <v>150</v>
      </c>
      <c r="P90" s="1">
        <f t="shared" si="96"/>
        <v>150</v>
      </c>
      <c r="Q90" s="1">
        <f t="shared" si="96"/>
        <v>150</v>
      </c>
      <c r="R90" s="1">
        <f t="shared" si="96"/>
        <v>150</v>
      </c>
      <c r="S90" s="1">
        <f t="shared" si="96"/>
        <v>150</v>
      </c>
      <c r="T90" s="1">
        <f t="shared" si="96"/>
        <v>150</v>
      </c>
      <c r="U90" s="1">
        <v>180</v>
      </c>
      <c r="V90" s="1">
        <f t="shared" si="95"/>
        <v>180</v>
      </c>
      <c r="W90" s="1">
        <f t="shared" si="95"/>
        <v>180</v>
      </c>
      <c r="X90" s="1">
        <f t="shared" si="95"/>
        <v>180</v>
      </c>
      <c r="Y90" s="1">
        <f t="shared" si="95"/>
        <v>180</v>
      </c>
      <c r="Z90" s="1">
        <f t="shared" si="95"/>
        <v>180</v>
      </c>
      <c r="AA90" s="1">
        <f t="shared" si="95"/>
        <v>180</v>
      </c>
      <c r="AB90" s="1">
        <f t="shared" si="95"/>
        <v>180</v>
      </c>
      <c r="AC90" s="1">
        <f t="shared" si="95"/>
        <v>180</v>
      </c>
      <c r="AD90" s="1">
        <f t="shared" si="95"/>
        <v>180</v>
      </c>
      <c r="AE90" s="1">
        <f t="shared" si="95"/>
        <v>180</v>
      </c>
      <c r="AF90" s="1">
        <f t="shared" si="95"/>
        <v>180</v>
      </c>
      <c r="AG90" s="1">
        <f t="shared" si="95"/>
        <v>180</v>
      </c>
      <c r="AH90" s="1">
        <f t="shared" si="95"/>
        <v>180</v>
      </c>
      <c r="AI90" s="1">
        <f t="shared" si="95"/>
        <v>180</v>
      </c>
      <c r="AJ90" s="1">
        <f t="shared" si="95"/>
        <v>180</v>
      </c>
      <c r="AK90" s="1">
        <f t="shared" si="92"/>
        <v>180</v>
      </c>
      <c r="AL90" s="1">
        <f t="shared" si="92"/>
        <v>180</v>
      </c>
      <c r="AM90" s="1">
        <f t="shared" si="92"/>
        <v>180</v>
      </c>
      <c r="AN90" s="1">
        <f t="shared" si="92"/>
        <v>180</v>
      </c>
      <c r="AO90" s="1">
        <f t="shared" si="92"/>
        <v>180</v>
      </c>
      <c r="AP90" s="1">
        <f t="shared" si="92"/>
        <v>180</v>
      </c>
      <c r="AQ90" s="72">
        <f t="shared" si="92"/>
        <v>180</v>
      </c>
      <c r="AR90" s="72">
        <f t="shared" si="92"/>
        <v>180</v>
      </c>
      <c r="AS90" s="72">
        <f t="shared" si="92"/>
        <v>180</v>
      </c>
      <c r="AT90" s="72">
        <f t="shared" si="92"/>
        <v>180</v>
      </c>
      <c r="AU90" s="72">
        <f t="shared" si="92"/>
        <v>180</v>
      </c>
      <c r="AV90" s="72">
        <f t="shared" si="92"/>
        <v>180</v>
      </c>
      <c r="AW90" s="72">
        <f t="shared" si="92"/>
        <v>180</v>
      </c>
      <c r="AX90" s="72">
        <f t="shared" si="92"/>
        <v>180</v>
      </c>
      <c r="AY90" s="72"/>
    </row>
    <row r="91" spans="1:51" ht="15.75" hidden="1" customHeight="1" x14ac:dyDescent="0.25">
      <c r="A91" s="71" t="s">
        <v>54</v>
      </c>
      <c r="B91" s="19"/>
      <c r="C91" s="1"/>
      <c r="D91" s="1"/>
      <c r="E91" s="1"/>
      <c r="F91" s="1">
        <v>118</v>
      </c>
      <c r="G91" s="1">
        <v>250</v>
      </c>
      <c r="H91" s="1">
        <f>G91</f>
        <v>250</v>
      </c>
      <c r="I91" s="1">
        <f>H91</f>
        <v>250</v>
      </c>
      <c r="J91" s="1">
        <f>I91</f>
        <v>250</v>
      </c>
      <c r="K91" s="1">
        <v>3000</v>
      </c>
      <c r="L91" s="1">
        <v>3000</v>
      </c>
      <c r="M91" s="1">
        <v>3000</v>
      </c>
      <c r="N91" s="1">
        <v>3000</v>
      </c>
      <c r="O91" s="1">
        <v>3000</v>
      </c>
      <c r="P91" s="1">
        <v>3000</v>
      </c>
      <c r="Q91" s="1">
        <v>3000</v>
      </c>
      <c r="R91" s="1">
        <v>3000</v>
      </c>
      <c r="S91" s="1">
        <v>3000</v>
      </c>
      <c r="T91" s="1">
        <v>3000</v>
      </c>
      <c r="U91" s="1">
        <v>50</v>
      </c>
      <c r="V91" s="1">
        <v>756</v>
      </c>
      <c r="W91" s="1">
        <v>500</v>
      </c>
      <c r="X91" s="1">
        <v>1500</v>
      </c>
      <c r="Y91" s="1">
        <v>3000</v>
      </c>
      <c r="Z91" s="1">
        <v>1500</v>
      </c>
      <c r="AA91" s="1">
        <v>1500</v>
      </c>
      <c r="AB91" s="1">
        <v>1500</v>
      </c>
      <c r="AC91" s="1">
        <v>1500</v>
      </c>
      <c r="AD91" s="1">
        <v>1500</v>
      </c>
      <c r="AE91" s="1">
        <v>1500</v>
      </c>
      <c r="AF91" s="1">
        <v>1500</v>
      </c>
      <c r="AG91" s="1">
        <v>1500</v>
      </c>
      <c r="AH91" s="1">
        <v>1500</v>
      </c>
      <c r="AI91" s="1">
        <v>1500</v>
      </c>
      <c r="AJ91" s="1">
        <v>1500</v>
      </c>
      <c r="AK91" s="1">
        <v>1500</v>
      </c>
      <c r="AL91" s="1">
        <v>1500</v>
      </c>
      <c r="AM91" s="1">
        <v>1500</v>
      </c>
      <c r="AN91" s="1">
        <v>1500</v>
      </c>
      <c r="AO91" s="1">
        <v>1500</v>
      </c>
      <c r="AP91" s="1">
        <v>1500</v>
      </c>
      <c r="AQ91" s="72">
        <v>1500</v>
      </c>
      <c r="AR91" s="72">
        <v>1500</v>
      </c>
      <c r="AS91" s="72">
        <v>1500</v>
      </c>
      <c r="AT91" s="72">
        <v>1500</v>
      </c>
      <c r="AU91" s="72">
        <v>1500</v>
      </c>
      <c r="AV91" s="72">
        <v>1500</v>
      </c>
      <c r="AW91" s="72">
        <v>1500</v>
      </c>
      <c r="AX91" s="72">
        <v>1500</v>
      </c>
      <c r="AY91" s="72"/>
    </row>
    <row r="92" spans="1:51" ht="15.75" hidden="1" customHeight="1" x14ac:dyDescent="0.25">
      <c r="A92" s="71" t="s">
        <v>56</v>
      </c>
      <c r="B92" s="19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72"/>
      <c r="AR92" s="72"/>
      <c r="AS92" s="72"/>
      <c r="AT92" s="72"/>
      <c r="AU92" s="72"/>
      <c r="AV92" s="72"/>
      <c r="AW92" s="72"/>
      <c r="AX92" s="72"/>
      <c r="AY92" s="72"/>
    </row>
    <row r="93" spans="1:51" ht="15.75" hidden="1" customHeight="1" x14ac:dyDescent="0.25">
      <c r="A93" s="71" t="s">
        <v>58</v>
      </c>
      <c r="B93" s="19"/>
      <c r="C93" s="1"/>
      <c r="D93" s="1"/>
      <c r="E93" s="1"/>
      <c r="F93" s="1">
        <v>0</v>
      </c>
      <c r="G93" s="1">
        <v>0</v>
      </c>
      <c r="H93" s="1">
        <v>900</v>
      </c>
      <c r="I93" s="1">
        <v>0</v>
      </c>
      <c r="J93" s="1">
        <v>0</v>
      </c>
      <c r="K93" s="1">
        <v>900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72">
        <v>0</v>
      </c>
      <c r="AR93" s="72">
        <v>0</v>
      </c>
      <c r="AS93" s="72">
        <v>0</v>
      </c>
      <c r="AT93" s="72">
        <v>0</v>
      </c>
      <c r="AU93" s="72">
        <v>0</v>
      </c>
      <c r="AV93" s="72">
        <v>0</v>
      </c>
      <c r="AW93" s="72">
        <v>0</v>
      </c>
      <c r="AX93" s="72">
        <v>0</v>
      </c>
      <c r="AY93" s="72"/>
    </row>
    <row r="94" spans="1:51" ht="15.75" hidden="1" customHeight="1" x14ac:dyDescent="0.25">
      <c r="A94" s="71" t="s">
        <v>60</v>
      </c>
      <c r="B94" s="19"/>
      <c r="C94" s="4"/>
      <c r="D94" s="4"/>
      <c r="E94" s="4"/>
      <c r="F94" s="72">
        <v>-181</v>
      </c>
      <c r="G94" s="72">
        <f>F94</f>
        <v>-181</v>
      </c>
      <c r="H94" s="72">
        <f t="shared" ref="H94:T94" si="97">G94</f>
        <v>-181</v>
      </c>
      <c r="I94" s="72">
        <f t="shared" si="97"/>
        <v>-181</v>
      </c>
      <c r="J94" s="72">
        <f t="shared" si="97"/>
        <v>-181</v>
      </c>
      <c r="K94" s="72">
        <f t="shared" si="97"/>
        <v>-181</v>
      </c>
      <c r="L94" s="72">
        <f t="shared" si="97"/>
        <v>-181</v>
      </c>
      <c r="M94" s="72">
        <f t="shared" si="97"/>
        <v>-181</v>
      </c>
      <c r="N94" s="72">
        <f t="shared" si="97"/>
        <v>-181</v>
      </c>
      <c r="O94" s="72">
        <f t="shared" si="97"/>
        <v>-181</v>
      </c>
      <c r="P94" s="72">
        <f t="shared" si="97"/>
        <v>-181</v>
      </c>
      <c r="Q94" s="72">
        <f t="shared" si="97"/>
        <v>-181</v>
      </c>
      <c r="R94" s="72">
        <f t="shared" si="97"/>
        <v>-181</v>
      </c>
      <c r="S94" s="72">
        <f t="shared" si="97"/>
        <v>-181</v>
      </c>
      <c r="T94" s="72">
        <f t="shared" si="97"/>
        <v>-181</v>
      </c>
      <c r="U94" s="72"/>
      <c r="V94" s="72">
        <f t="shared" ref="V94:AJ94" si="98">U94</f>
        <v>0</v>
      </c>
      <c r="W94" s="72">
        <f t="shared" si="98"/>
        <v>0</v>
      </c>
      <c r="X94" s="72">
        <f t="shared" si="98"/>
        <v>0</v>
      </c>
      <c r="Y94" s="72">
        <f t="shared" si="98"/>
        <v>0</v>
      </c>
      <c r="Z94" s="72">
        <f t="shared" si="98"/>
        <v>0</v>
      </c>
      <c r="AA94" s="72">
        <f t="shared" si="98"/>
        <v>0</v>
      </c>
      <c r="AB94" s="72">
        <f t="shared" si="98"/>
        <v>0</v>
      </c>
      <c r="AC94" s="72">
        <f t="shared" si="98"/>
        <v>0</v>
      </c>
      <c r="AD94" s="72">
        <f t="shared" si="98"/>
        <v>0</v>
      </c>
      <c r="AE94" s="72">
        <f t="shared" si="98"/>
        <v>0</v>
      </c>
      <c r="AF94" s="72">
        <f t="shared" si="98"/>
        <v>0</v>
      </c>
      <c r="AG94" s="72">
        <f t="shared" si="98"/>
        <v>0</v>
      </c>
      <c r="AH94" s="72">
        <f t="shared" si="98"/>
        <v>0</v>
      </c>
      <c r="AI94" s="72">
        <f t="shared" si="98"/>
        <v>0</v>
      </c>
      <c r="AJ94" s="72">
        <f t="shared" si="98"/>
        <v>0</v>
      </c>
      <c r="AK94" s="72">
        <f t="shared" ref="AK94:AX94" si="99">AJ94</f>
        <v>0</v>
      </c>
      <c r="AL94" s="72">
        <f t="shared" si="99"/>
        <v>0</v>
      </c>
      <c r="AM94" s="72">
        <f t="shared" si="99"/>
        <v>0</v>
      </c>
      <c r="AN94" s="72">
        <f t="shared" si="99"/>
        <v>0</v>
      </c>
      <c r="AO94" s="72">
        <f t="shared" si="99"/>
        <v>0</v>
      </c>
      <c r="AP94" s="72">
        <f t="shared" si="99"/>
        <v>0</v>
      </c>
      <c r="AQ94" s="72">
        <f t="shared" si="99"/>
        <v>0</v>
      </c>
      <c r="AR94" s="72">
        <f t="shared" si="99"/>
        <v>0</v>
      </c>
      <c r="AS94" s="72">
        <f t="shared" si="99"/>
        <v>0</v>
      </c>
      <c r="AT94" s="72">
        <f t="shared" si="99"/>
        <v>0</v>
      </c>
      <c r="AU94" s="72">
        <f t="shared" si="99"/>
        <v>0</v>
      </c>
      <c r="AV94" s="72">
        <f t="shared" si="99"/>
        <v>0</v>
      </c>
      <c r="AW94" s="72">
        <f t="shared" si="99"/>
        <v>0</v>
      </c>
      <c r="AX94" s="72">
        <f t="shared" si="99"/>
        <v>0</v>
      </c>
      <c r="AY94" s="72"/>
    </row>
    <row r="95" spans="1:51" ht="15.75" hidden="1" customHeight="1" x14ac:dyDescent="0.25">
      <c r="A95" s="71" t="s">
        <v>135</v>
      </c>
      <c r="B95" s="19"/>
      <c r="C95" s="1">
        <f t="shared" ref="C95:AK95" si="100">SUM(C78:C94)</f>
        <v>0</v>
      </c>
      <c r="D95" s="1">
        <f t="shared" si="100"/>
        <v>0</v>
      </c>
      <c r="E95" s="1">
        <f t="shared" si="100"/>
        <v>0</v>
      </c>
      <c r="F95" s="37">
        <f t="shared" si="100"/>
        <v>8408.33</v>
      </c>
      <c r="G95" s="4">
        <f t="shared" si="100"/>
        <v>37123.919999999998</v>
      </c>
      <c r="H95" s="4">
        <f t="shared" si="100"/>
        <v>17913.919999999998</v>
      </c>
      <c r="I95" s="4">
        <f t="shared" si="100"/>
        <v>17113.919999999998</v>
      </c>
      <c r="J95" s="4">
        <f t="shared" si="100"/>
        <v>17413.919999999998</v>
      </c>
      <c r="K95" s="4">
        <f t="shared" si="100"/>
        <v>21063.919999999998</v>
      </c>
      <c r="L95" s="4">
        <f t="shared" si="100"/>
        <v>20263.919999999998</v>
      </c>
      <c r="M95" s="4">
        <f t="shared" si="100"/>
        <v>20163.919999999998</v>
      </c>
      <c r="N95" s="4">
        <f t="shared" si="100"/>
        <v>20163.919999999998</v>
      </c>
      <c r="O95" s="4">
        <f t="shared" si="100"/>
        <v>20163.919999999998</v>
      </c>
      <c r="P95" s="4">
        <f t="shared" si="100"/>
        <v>20163.919999999998</v>
      </c>
      <c r="Q95" s="4">
        <f t="shared" si="100"/>
        <v>19318.919999999998</v>
      </c>
      <c r="R95" s="4">
        <f t="shared" si="100"/>
        <v>12729</v>
      </c>
      <c r="S95" s="4">
        <f t="shared" si="100"/>
        <v>12729</v>
      </c>
      <c r="T95" s="4">
        <f t="shared" si="100"/>
        <v>12729</v>
      </c>
      <c r="U95" s="4">
        <f t="shared" si="100"/>
        <v>9940.93</v>
      </c>
      <c r="V95" s="4">
        <f t="shared" si="100"/>
        <v>11312.93</v>
      </c>
      <c r="W95" s="4">
        <f t="shared" si="100"/>
        <v>11056.93</v>
      </c>
      <c r="X95" s="4">
        <f t="shared" si="100"/>
        <v>12161.93</v>
      </c>
      <c r="Y95" s="4">
        <f t="shared" si="100"/>
        <v>13556.93</v>
      </c>
      <c r="Z95" s="4">
        <f t="shared" si="100"/>
        <v>12056.93</v>
      </c>
      <c r="AA95" s="4">
        <f t="shared" si="100"/>
        <v>12056.93</v>
      </c>
      <c r="AB95" s="4">
        <f t="shared" si="100"/>
        <v>12056.93</v>
      </c>
      <c r="AC95" s="4">
        <f t="shared" si="100"/>
        <v>12056.93</v>
      </c>
      <c r="AD95" s="4">
        <f t="shared" si="100"/>
        <v>12056.93</v>
      </c>
      <c r="AE95" s="4">
        <f t="shared" si="100"/>
        <v>12266.93</v>
      </c>
      <c r="AF95" s="4">
        <f t="shared" si="100"/>
        <v>54266.93</v>
      </c>
      <c r="AG95" s="4">
        <f t="shared" si="100"/>
        <v>24266.93</v>
      </c>
      <c r="AH95" s="4">
        <f t="shared" si="100"/>
        <v>25266.93</v>
      </c>
      <c r="AI95" s="4">
        <f t="shared" si="100"/>
        <v>12266.93</v>
      </c>
      <c r="AJ95" s="4">
        <f t="shared" si="100"/>
        <v>12266.93</v>
      </c>
      <c r="AK95" s="4">
        <f t="shared" si="100"/>
        <v>12266.93</v>
      </c>
      <c r="AL95" s="4">
        <f>SUM(AL78:AL94)</f>
        <v>12266.93</v>
      </c>
      <c r="AM95" s="4">
        <f>SUM(AM78:AM94)</f>
        <v>12266.93</v>
      </c>
      <c r="AN95" s="4">
        <f>SUM(AN78:AN94)</f>
        <v>12266.93</v>
      </c>
      <c r="AO95" s="4">
        <f>SUM(AO78:AO94)</f>
        <v>12266.93</v>
      </c>
      <c r="AP95" s="4">
        <f t="shared" ref="AP95:AQ95" si="101">SUM(AP78:AP94)</f>
        <v>12266.93</v>
      </c>
      <c r="AQ95" s="42">
        <f t="shared" si="101"/>
        <v>12266.93</v>
      </c>
      <c r="AR95" s="42">
        <f t="shared" ref="AR95:AS95" si="102">SUM(AR78:AR94)</f>
        <v>12266.93</v>
      </c>
      <c r="AS95" s="42">
        <f t="shared" si="102"/>
        <v>12266.93</v>
      </c>
      <c r="AT95" s="42">
        <f t="shared" ref="AT95:AV95" si="103">SUM(AT78:AT94)</f>
        <v>12266.93</v>
      </c>
      <c r="AU95" s="42">
        <f t="shared" si="103"/>
        <v>12266.93</v>
      </c>
      <c r="AV95" s="42">
        <f t="shared" si="103"/>
        <v>12266.93</v>
      </c>
      <c r="AW95" s="42">
        <f t="shared" ref="AW95" si="104">SUM(AW78:AW94)</f>
        <v>12266.93</v>
      </c>
      <c r="AX95" s="42">
        <f t="shared" ref="AX95" si="105">SUM(AX78:AX94)</f>
        <v>12266.93</v>
      </c>
      <c r="AY95" s="42"/>
    </row>
    <row r="96" spans="1:51" ht="15.75" hidden="1" customHeight="1" x14ac:dyDescent="0.25">
      <c r="A96" s="71" t="s">
        <v>174</v>
      </c>
      <c r="B96" s="19"/>
      <c r="C96" s="1"/>
      <c r="D96" s="1"/>
      <c r="E96" s="1"/>
      <c r="F96" s="49">
        <f t="shared" ref="F96:N96" si="106">SUM(F75+F95)</f>
        <v>88932.24</v>
      </c>
      <c r="G96" s="49">
        <f t="shared" si="106"/>
        <v>120947.83</v>
      </c>
      <c r="H96" s="49">
        <f t="shared" si="106"/>
        <v>101179.11</v>
      </c>
      <c r="I96" s="49">
        <f t="shared" si="106"/>
        <v>102179.11</v>
      </c>
      <c r="J96" s="49">
        <f t="shared" si="106"/>
        <v>102479.11</v>
      </c>
      <c r="K96" s="49">
        <f t="shared" si="106"/>
        <v>106129.11</v>
      </c>
      <c r="L96" s="49">
        <f t="shared" si="106"/>
        <v>105329.11</v>
      </c>
      <c r="M96" s="49">
        <f t="shared" si="106"/>
        <v>105229.11</v>
      </c>
      <c r="N96" s="49">
        <f t="shared" si="106"/>
        <v>105229.11</v>
      </c>
      <c r="O96" s="49">
        <f t="shared" ref="O96:T96" si="107">SUM(O75+O95)</f>
        <v>84229.109999999986</v>
      </c>
      <c r="P96" s="49">
        <f t="shared" si="107"/>
        <v>87229.11</v>
      </c>
      <c r="Q96" s="49">
        <f t="shared" si="107"/>
        <v>100520.83</v>
      </c>
      <c r="R96" s="49">
        <f t="shared" si="107"/>
        <v>91930.91</v>
      </c>
      <c r="S96" s="49">
        <f t="shared" si="107"/>
        <v>92430.91</v>
      </c>
      <c r="T96" s="49">
        <f t="shared" si="107"/>
        <v>91930.91</v>
      </c>
      <c r="U96" s="49">
        <v>113209</v>
      </c>
      <c r="V96" s="49">
        <v>106080.41</v>
      </c>
      <c r="W96" s="49">
        <v>96029.31</v>
      </c>
      <c r="X96" s="49">
        <f>W96+5000</f>
        <v>101029.31</v>
      </c>
      <c r="Y96" s="49">
        <f>X96+1500</f>
        <v>102529.31</v>
      </c>
      <c r="Z96" s="49">
        <f t="shared" ref="Z96:AB96" si="108">Y96-7500</f>
        <v>95029.31</v>
      </c>
      <c r="AA96" s="49">
        <f t="shared" si="108"/>
        <v>87529.31</v>
      </c>
      <c r="AB96" s="49">
        <f t="shared" si="108"/>
        <v>80029.31</v>
      </c>
      <c r="AC96" s="49">
        <f>AC75+AC95</f>
        <v>83478.679999999993</v>
      </c>
      <c r="AD96" s="49">
        <f>AD75+AD95</f>
        <v>87214.829999999987</v>
      </c>
      <c r="AE96" s="49">
        <f t="shared" ref="AE96:AK96" si="109">AE75+AE95</f>
        <v>87424.829999999987</v>
      </c>
      <c r="AF96" s="49">
        <f t="shared" si="109"/>
        <v>166753.78</v>
      </c>
      <c r="AG96" s="49">
        <f t="shared" si="109"/>
        <v>99704.829999999987</v>
      </c>
      <c r="AH96" s="49">
        <f t="shared" si="109"/>
        <v>100704.82999999999</v>
      </c>
      <c r="AI96" s="49">
        <f t="shared" si="109"/>
        <v>87704.829999999987</v>
      </c>
      <c r="AJ96" s="49">
        <f t="shared" si="109"/>
        <v>87704.829999999987</v>
      </c>
      <c r="AK96" s="49">
        <f t="shared" si="109"/>
        <v>125173.78</v>
      </c>
      <c r="AL96" s="49">
        <f>AL75+AL95</f>
        <v>87704.829999999987</v>
      </c>
      <c r="AM96" s="49">
        <f>AM75+AM95</f>
        <v>125173.78</v>
      </c>
      <c r="AN96" s="49">
        <f>AN75+AN95</f>
        <v>87704.829999999987</v>
      </c>
      <c r="AO96" s="49">
        <f>AO75+AO95</f>
        <v>125173.78</v>
      </c>
      <c r="AP96" s="49">
        <f t="shared" ref="AP96:AQ96" si="110">AP75+AP95</f>
        <v>87704.829999999987</v>
      </c>
      <c r="AQ96" s="84">
        <f t="shared" si="110"/>
        <v>125173.78</v>
      </c>
      <c r="AR96" s="84">
        <f t="shared" ref="AR96:AS96" si="111">AR75+AR95</f>
        <v>87704.829999999987</v>
      </c>
      <c r="AS96" s="84">
        <f t="shared" si="111"/>
        <v>125173.78</v>
      </c>
      <c r="AT96" s="84">
        <f t="shared" ref="AT96:AV96" si="112">AT75+AT95</f>
        <v>87704.829999999987</v>
      </c>
      <c r="AU96" s="84">
        <f t="shared" si="112"/>
        <v>125173.78</v>
      </c>
      <c r="AV96" s="84">
        <f t="shared" si="112"/>
        <v>87704.829999999987</v>
      </c>
      <c r="AW96" s="84">
        <f t="shared" ref="AW96" si="113">AW75+AW95</f>
        <v>125173.78</v>
      </c>
      <c r="AX96" s="84">
        <f t="shared" ref="AX96" si="114">AX75+AX95</f>
        <v>87704.829999999987</v>
      </c>
      <c r="AY96" s="84"/>
    </row>
    <row r="97" spans="1:55" ht="15.75" hidden="1" customHeight="1" x14ac:dyDescent="0.25">
      <c r="A97" s="71" t="s">
        <v>168</v>
      </c>
      <c r="B97" s="19"/>
      <c r="C97" s="1"/>
      <c r="D97" s="1"/>
      <c r="E97" s="1"/>
      <c r="F97" s="1"/>
      <c r="G97" s="1">
        <f>G96-1500-(G96*70%)</f>
        <v>34784.349000000002</v>
      </c>
      <c r="H97" s="1">
        <f>H96-1500-(H96*70%)</f>
        <v>28853.733000000007</v>
      </c>
      <c r="I97" s="1">
        <f>I96-1500-(I96*70%)</f>
        <v>29153.733000000007</v>
      </c>
      <c r="J97" s="1">
        <f>J96-1500-(J96*70%)-8708</f>
        <v>20535.733000000007</v>
      </c>
      <c r="K97" s="1">
        <f>K96-1500-(K96*70%)-8708</f>
        <v>21630.733000000007</v>
      </c>
      <c r="L97" s="1">
        <f>L96-1500-(L96*57.94%)-8708</f>
        <v>34093.423665999995</v>
      </c>
      <c r="M97" s="1">
        <f>M96-(M96*60%)</f>
        <v>42091.644</v>
      </c>
      <c r="N97" s="1">
        <f>N96-(N96*60%)</f>
        <v>42091.644</v>
      </c>
      <c r="O97" s="1">
        <f>O96-(O96*55%)</f>
        <v>37903.099499999989</v>
      </c>
      <c r="P97" s="1">
        <f>P96-(P96*55%)-P106</f>
        <v>39153.379499999995</v>
      </c>
      <c r="Q97" s="1">
        <f>Q96-(Q96*55%)-Q106</f>
        <v>45134.653499999993</v>
      </c>
      <c r="R97" s="1">
        <f>R96-(R96*55%)-R106</f>
        <v>41269.189499999993</v>
      </c>
      <c r="S97" s="1">
        <f>S96-(S96*55%)-S106</f>
        <v>41593.909499999994</v>
      </c>
      <c r="T97" s="1">
        <f>T96-(T96*55%)-T106</f>
        <v>41368.909499999994</v>
      </c>
      <c r="U97" s="1">
        <v>84453</v>
      </c>
      <c r="V97" s="1">
        <f>V96-(V96*50%)-V106</f>
        <v>53040.205000000002</v>
      </c>
      <c r="W97" s="1">
        <f>W96-(W96*55%)-W106</f>
        <v>43213.189499999993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72"/>
      <c r="AR97" s="72"/>
      <c r="AS97" s="72"/>
      <c r="AT97" s="72"/>
      <c r="AU97" s="72"/>
      <c r="AV97" s="72"/>
      <c r="AW97" s="72"/>
      <c r="AX97" s="72"/>
      <c r="AY97" s="72"/>
    </row>
    <row r="98" spans="1:55" ht="15.75" customHeight="1" x14ac:dyDescent="0.25">
      <c r="A98" s="71" t="s">
        <v>185</v>
      </c>
      <c r="B98" s="19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>
        <f t="shared" ref="X98:AB98" si="115">X96-(X96*63%)</f>
        <v>37380.844700000001</v>
      </c>
      <c r="Y98" s="1">
        <f>Y96-(Y96*65%)</f>
        <v>35885.258499999996</v>
      </c>
      <c r="Z98" s="1">
        <f>Z96-(Z96*63%)</f>
        <v>35160.844700000001</v>
      </c>
      <c r="AA98" s="1">
        <f t="shared" si="115"/>
        <v>32385.844700000001</v>
      </c>
      <c r="AB98" s="1">
        <f t="shared" si="115"/>
        <v>29610.844700000001</v>
      </c>
      <c r="AC98" s="1">
        <f>AC96-(AC96*AC46)</f>
        <v>35061.045599999998</v>
      </c>
      <c r="AD98" s="1">
        <f>AD96-(AD96*AD46)</f>
        <v>36630.228599999995</v>
      </c>
      <c r="AE98" s="1">
        <f t="shared" ref="AE98:AK98" si="116">AE96-(AE96*AE46)</f>
        <v>36718.428599999999</v>
      </c>
      <c r="AF98" s="1">
        <f t="shared" si="116"/>
        <v>76706.738799999992</v>
      </c>
      <c r="AG98" s="1">
        <f t="shared" si="116"/>
        <v>45864.221799999992</v>
      </c>
      <c r="AH98" s="1">
        <f t="shared" si="116"/>
        <v>48338.318399999989</v>
      </c>
      <c r="AI98" s="1">
        <f t="shared" si="116"/>
        <v>42098.318399999989</v>
      </c>
      <c r="AJ98" s="1">
        <f t="shared" si="116"/>
        <v>43852.414999999994</v>
      </c>
      <c r="AK98" s="1">
        <f t="shared" si="116"/>
        <v>62586.89</v>
      </c>
      <c r="AL98" s="1">
        <f>AL96-(AL96*AL46)</f>
        <v>43852.414999999994</v>
      </c>
      <c r="AM98" s="1">
        <f>AM96-(AM96*AM46)</f>
        <v>75104.267999999996</v>
      </c>
      <c r="AN98" s="1">
        <v>78000</v>
      </c>
      <c r="AO98" s="1">
        <v>78000</v>
      </c>
      <c r="AP98" s="1">
        <v>78000</v>
      </c>
      <c r="AQ98" s="72">
        <v>78000</v>
      </c>
      <c r="AR98" s="72">
        <v>78000</v>
      </c>
      <c r="AS98" s="72">
        <v>78000</v>
      </c>
      <c r="AT98" s="72">
        <v>78000</v>
      </c>
      <c r="AU98" s="72">
        <v>78000</v>
      </c>
      <c r="AV98" s="72">
        <v>78000</v>
      </c>
      <c r="AW98" s="72">
        <v>78000</v>
      </c>
      <c r="AX98" s="72">
        <v>78000</v>
      </c>
      <c r="AY98" s="72"/>
    </row>
    <row r="99" spans="1:55" ht="15.75" customHeight="1" x14ac:dyDescent="0.25">
      <c r="A99" s="71"/>
      <c r="B99" s="19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72"/>
      <c r="AR99" s="72"/>
      <c r="AS99" s="72"/>
      <c r="AT99" s="72"/>
      <c r="AU99" s="72"/>
      <c r="AV99" s="72"/>
      <c r="AW99" s="72"/>
      <c r="AX99" s="72"/>
      <c r="AY99" s="72"/>
    </row>
    <row r="100" spans="1:55" ht="15.75" customHeight="1" x14ac:dyDescent="0.25">
      <c r="A100" s="71" t="s">
        <v>151</v>
      </c>
      <c r="B100" s="19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72"/>
      <c r="AR100" s="72"/>
      <c r="AS100" s="72"/>
      <c r="AT100" s="72"/>
      <c r="AU100" s="72"/>
      <c r="AV100" s="72"/>
      <c r="AW100" s="72"/>
      <c r="AX100" s="72"/>
      <c r="AY100" s="72"/>
    </row>
    <row r="101" spans="1:55" ht="15.75" customHeight="1" x14ac:dyDescent="0.25">
      <c r="A101" s="71" t="s">
        <v>179</v>
      </c>
      <c r="B101" s="19"/>
      <c r="C101" s="1"/>
      <c r="D101" s="1"/>
      <c r="E101" s="1"/>
      <c r="F101" s="1"/>
      <c r="G101" s="59">
        <v>18</v>
      </c>
      <c r="H101" s="59">
        <v>14</v>
      </c>
      <c r="I101" s="59">
        <v>14</v>
      </c>
      <c r="J101" s="59">
        <v>3</v>
      </c>
      <c r="K101" s="59">
        <v>5</v>
      </c>
      <c r="L101" s="59">
        <v>8</v>
      </c>
      <c r="M101" s="59">
        <v>8</v>
      </c>
      <c r="N101" s="59">
        <v>11</v>
      </c>
      <c r="O101" s="59">
        <v>12</v>
      </c>
      <c r="P101" s="59">
        <v>14</v>
      </c>
      <c r="Q101" s="59">
        <v>11</v>
      </c>
      <c r="R101" s="59">
        <v>12</v>
      </c>
      <c r="S101" s="59">
        <v>14</v>
      </c>
      <c r="T101" s="59">
        <v>13</v>
      </c>
      <c r="U101" s="59">
        <v>17</v>
      </c>
      <c r="V101" s="59">
        <f>U101</f>
        <v>17</v>
      </c>
      <c r="W101" s="59">
        <v>13</v>
      </c>
      <c r="X101" s="59">
        <f>W101</f>
        <v>13</v>
      </c>
      <c r="Y101" s="59">
        <v>17</v>
      </c>
      <c r="Z101" s="59">
        <v>13</v>
      </c>
      <c r="AA101" s="59">
        <v>15</v>
      </c>
      <c r="AB101" s="59">
        <v>6</v>
      </c>
      <c r="AC101" s="59">
        <v>6</v>
      </c>
      <c r="AD101" s="59">
        <v>3</v>
      </c>
      <c r="AE101" s="59">
        <v>1</v>
      </c>
      <c r="AF101" s="59">
        <v>3</v>
      </c>
      <c r="AG101" s="59">
        <v>6</v>
      </c>
      <c r="AH101" s="59">
        <v>1</v>
      </c>
      <c r="AI101" s="59">
        <v>6</v>
      </c>
      <c r="AJ101" s="59">
        <v>4</v>
      </c>
      <c r="AK101" s="59">
        <v>2</v>
      </c>
      <c r="AL101" s="59">
        <v>1</v>
      </c>
      <c r="AM101" s="59">
        <v>1</v>
      </c>
      <c r="AN101" s="59">
        <v>1</v>
      </c>
      <c r="AO101" s="59">
        <v>3</v>
      </c>
      <c r="AP101" s="59">
        <v>1</v>
      </c>
      <c r="AQ101" s="85">
        <v>0</v>
      </c>
      <c r="AR101" s="85">
        <v>0</v>
      </c>
      <c r="AS101" s="85">
        <v>0</v>
      </c>
      <c r="AT101" s="85">
        <v>0</v>
      </c>
      <c r="AU101" s="85">
        <v>0</v>
      </c>
      <c r="AV101" s="85">
        <v>0</v>
      </c>
      <c r="AW101" s="85">
        <v>0</v>
      </c>
      <c r="AX101" s="85">
        <v>0</v>
      </c>
      <c r="AY101" s="85"/>
    </row>
    <row r="102" spans="1:55" ht="15.75" customHeight="1" x14ac:dyDescent="0.25">
      <c r="A102" s="71" t="s">
        <v>180</v>
      </c>
      <c r="B102" s="19"/>
      <c r="C102" s="1"/>
      <c r="D102" s="1"/>
      <c r="E102" s="1"/>
      <c r="F102" s="1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>
        <v>0</v>
      </c>
      <c r="X102" s="59">
        <v>1</v>
      </c>
      <c r="Y102" s="59">
        <v>1</v>
      </c>
      <c r="Z102" s="59">
        <v>1</v>
      </c>
      <c r="AA102" s="59">
        <v>0</v>
      </c>
      <c r="AB102" s="59">
        <v>1</v>
      </c>
      <c r="AC102" s="59">
        <v>1</v>
      </c>
      <c r="AD102" s="59">
        <v>0</v>
      </c>
      <c r="AE102" s="59">
        <v>2</v>
      </c>
      <c r="AF102" s="59">
        <v>1</v>
      </c>
      <c r="AG102" s="59">
        <v>1</v>
      </c>
      <c r="AH102" s="59">
        <v>1</v>
      </c>
      <c r="AI102" s="59">
        <v>1</v>
      </c>
      <c r="AJ102" s="59">
        <v>3</v>
      </c>
      <c r="AK102" s="59">
        <v>0</v>
      </c>
      <c r="AL102" s="59">
        <v>1</v>
      </c>
      <c r="AM102" s="59">
        <v>0</v>
      </c>
      <c r="AN102" s="59">
        <v>0</v>
      </c>
      <c r="AO102" s="59">
        <v>1</v>
      </c>
      <c r="AP102" s="59">
        <v>0</v>
      </c>
      <c r="AQ102" s="85">
        <v>1</v>
      </c>
      <c r="AR102" s="85">
        <v>1</v>
      </c>
      <c r="AS102" s="85">
        <v>3</v>
      </c>
      <c r="AT102" s="85">
        <f t="shared" ref="AT102:AU102" si="117">AT139+AT141</f>
        <v>2</v>
      </c>
      <c r="AU102" s="85">
        <f t="shared" si="117"/>
        <v>3</v>
      </c>
      <c r="AV102" s="85">
        <v>2</v>
      </c>
      <c r="AW102" s="85">
        <v>2</v>
      </c>
      <c r="AX102" s="85">
        <v>2</v>
      </c>
      <c r="AY102" s="85"/>
    </row>
    <row r="103" spans="1:55" ht="15.75" customHeight="1" x14ac:dyDescent="0.25">
      <c r="A103" s="71" t="s">
        <v>223</v>
      </c>
      <c r="B103" s="19"/>
      <c r="C103" s="1"/>
      <c r="D103" s="1"/>
      <c r="E103" s="1"/>
      <c r="F103" s="1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>
        <v>1</v>
      </c>
      <c r="AF103" s="59">
        <v>0</v>
      </c>
      <c r="AG103" s="59">
        <v>0</v>
      </c>
      <c r="AH103" s="59">
        <v>0</v>
      </c>
      <c r="AI103" s="59">
        <v>0</v>
      </c>
      <c r="AJ103" s="59">
        <v>0</v>
      </c>
      <c r="AK103" s="59">
        <f>AK143</f>
        <v>0</v>
      </c>
      <c r="AL103" s="59">
        <f t="shared" ref="AL103:AP103" si="118">AL143</f>
        <v>0</v>
      </c>
      <c r="AM103" s="59">
        <f t="shared" si="118"/>
        <v>0</v>
      </c>
      <c r="AN103" s="59">
        <f t="shared" si="118"/>
        <v>0</v>
      </c>
      <c r="AO103" s="59">
        <v>0</v>
      </c>
      <c r="AP103" s="59">
        <f t="shared" si="118"/>
        <v>0</v>
      </c>
      <c r="AQ103" s="85">
        <f t="shared" ref="AQ103" si="119">AQ143</f>
        <v>0</v>
      </c>
      <c r="AR103" s="85">
        <v>0</v>
      </c>
      <c r="AS103" s="85">
        <v>1</v>
      </c>
      <c r="AT103" s="85">
        <v>4</v>
      </c>
      <c r="AU103" s="85">
        <f t="shared" ref="AU103" si="120">AU143</f>
        <v>2</v>
      </c>
      <c r="AV103" s="85">
        <v>4</v>
      </c>
      <c r="AW103" s="85">
        <v>4</v>
      </c>
      <c r="AX103" s="85">
        <v>4</v>
      </c>
      <c r="AY103" s="85"/>
    </row>
    <row r="104" spans="1:55" ht="15.75" customHeight="1" x14ac:dyDescent="0.25">
      <c r="A104" s="71" t="s">
        <v>199</v>
      </c>
      <c r="B104" s="19"/>
      <c r="C104" s="1"/>
      <c r="D104" s="1"/>
      <c r="E104" s="1"/>
      <c r="F104" s="1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>
        <v>1</v>
      </c>
      <c r="AG104" s="59">
        <v>1</v>
      </c>
      <c r="AH104" s="59">
        <v>1</v>
      </c>
      <c r="AI104" s="59">
        <v>2</v>
      </c>
      <c r="AJ104" s="59">
        <v>1</v>
      </c>
      <c r="AK104" s="59">
        <v>2</v>
      </c>
      <c r="AL104" s="59">
        <v>0</v>
      </c>
      <c r="AM104" s="59">
        <v>0</v>
      </c>
      <c r="AN104" s="59">
        <v>0</v>
      </c>
      <c r="AO104" s="59">
        <v>0</v>
      </c>
      <c r="AP104" s="59">
        <v>6</v>
      </c>
      <c r="AQ104" s="85">
        <v>0</v>
      </c>
      <c r="AR104" s="85">
        <v>0</v>
      </c>
      <c r="AS104" s="85">
        <v>0</v>
      </c>
      <c r="AT104" s="85">
        <v>1</v>
      </c>
      <c r="AU104" s="85">
        <v>1</v>
      </c>
      <c r="AV104" s="85">
        <v>1</v>
      </c>
      <c r="AW104" s="85">
        <v>1</v>
      </c>
      <c r="AX104" s="85">
        <v>1</v>
      </c>
      <c r="AY104" s="85"/>
    </row>
    <row r="105" spans="1:55" ht="15.75" customHeight="1" x14ac:dyDescent="0.25">
      <c r="A105" s="71" t="s">
        <v>146</v>
      </c>
      <c r="B105" s="19"/>
      <c r="C105" s="1"/>
      <c r="D105" s="1"/>
      <c r="E105" s="1"/>
      <c r="F105" s="1"/>
      <c r="G105" s="1">
        <f>($AY49*G101)</f>
        <v>0</v>
      </c>
      <c r="H105" s="1">
        <f>($AY49*H101)</f>
        <v>0</v>
      </c>
      <c r="I105" s="1">
        <v>1065955</v>
      </c>
      <c r="J105" s="1">
        <v>219540</v>
      </c>
      <c r="K105" s="1">
        <f>($AY49*K101)</f>
        <v>0</v>
      </c>
      <c r="L105" s="1">
        <v>381688.27</v>
      </c>
      <c r="M105" s="1">
        <v>442630.10000000003</v>
      </c>
      <c r="N105" s="1">
        <v>693304.7300000001</v>
      </c>
      <c r="O105" s="1">
        <v>887101.1</v>
      </c>
      <c r="P105" s="1">
        <f t="shared" ref="P105:V105" si="121">($AY49*O101)+20000</f>
        <v>20000</v>
      </c>
      <c r="Q105" s="1">
        <f t="shared" si="121"/>
        <v>20000</v>
      </c>
      <c r="R105" s="1">
        <f t="shared" si="121"/>
        <v>20000</v>
      </c>
      <c r="S105" s="1">
        <f t="shared" si="121"/>
        <v>20000</v>
      </c>
      <c r="T105" s="1">
        <f t="shared" si="121"/>
        <v>20000</v>
      </c>
      <c r="U105" s="1">
        <f t="shared" si="121"/>
        <v>20000</v>
      </c>
      <c r="V105" s="1">
        <f t="shared" si="121"/>
        <v>20000</v>
      </c>
      <c r="W105" s="1">
        <f>($AY49*V101)+30000</f>
        <v>30000</v>
      </c>
      <c r="X105" s="1">
        <f>($AY49*W101)+20000</f>
        <v>20000</v>
      </c>
      <c r="Y105" s="1">
        <f>($AY49*X101)+20000</f>
        <v>20000</v>
      </c>
      <c r="Z105" s="1">
        <f>($AY49*Y101)+20000</f>
        <v>20000</v>
      </c>
      <c r="AA105" s="1">
        <f>($AY49*Z101)+20000</f>
        <v>20000</v>
      </c>
      <c r="AB105" s="1">
        <f>($AY49*AA101)+20000</f>
        <v>20000</v>
      </c>
      <c r="AC105" s="1">
        <f>($AY49*AB101)+20000+(AC96*AC46)</f>
        <v>68417.634399999995</v>
      </c>
      <c r="AD105" s="1">
        <f>($AY49*AC101)+20000+(AD96*AD46)</f>
        <v>70584.601399999985</v>
      </c>
      <c r="AE105" s="1">
        <f>($AY49*AD101)+15000</f>
        <v>15000</v>
      </c>
      <c r="AF105" s="1">
        <f>($AY49*AE101)+15000</f>
        <v>15000</v>
      </c>
      <c r="AG105" s="1">
        <f t="shared" ref="AG105:AL105" si="122">($AY49*AG101)+10000</f>
        <v>10000</v>
      </c>
      <c r="AH105" s="1">
        <f t="shared" si="122"/>
        <v>10000</v>
      </c>
      <c r="AI105" s="1">
        <f t="shared" si="122"/>
        <v>10000</v>
      </c>
      <c r="AJ105" s="1">
        <f t="shared" si="122"/>
        <v>10000</v>
      </c>
      <c r="AK105" s="1">
        <f t="shared" si="122"/>
        <v>10000</v>
      </c>
      <c r="AL105" s="1">
        <f t="shared" si="122"/>
        <v>10000</v>
      </c>
      <c r="AM105" s="1">
        <v>73000</v>
      </c>
      <c r="AN105" s="1">
        <v>73780.210000000006</v>
      </c>
      <c r="AO105" s="1">
        <v>221043.67</v>
      </c>
      <c r="AP105" s="1">
        <v>70000</v>
      </c>
      <c r="AQ105" s="1">
        <v>0</v>
      </c>
      <c r="AR105" s="72">
        <v>0</v>
      </c>
      <c r="AS105" s="72">
        <v>0</v>
      </c>
      <c r="AT105" s="72">
        <v>0</v>
      </c>
      <c r="AU105" s="72">
        <v>0</v>
      </c>
      <c r="AV105" s="72">
        <v>0</v>
      </c>
      <c r="AW105" s="72">
        <v>0</v>
      </c>
      <c r="AX105" s="72">
        <v>0</v>
      </c>
      <c r="AY105" s="72"/>
      <c r="BA105" s="66"/>
      <c r="BC105" s="66"/>
    </row>
    <row r="106" spans="1:55" ht="15.75" hidden="1" customHeight="1" x14ac:dyDescent="0.25">
      <c r="A106" s="71" t="s">
        <v>83</v>
      </c>
      <c r="B106" s="19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>
        <v>99.72</v>
      </c>
      <c r="Q106" s="1">
        <f>P106</f>
        <v>99.72</v>
      </c>
      <c r="R106" s="1">
        <f>Q106</f>
        <v>99.72</v>
      </c>
      <c r="S106" s="1">
        <v>0</v>
      </c>
      <c r="T106" s="1">
        <f t="shared" ref="T106:AJ106" si="123">S106</f>
        <v>0</v>
      </c>
      <c r="U106" s="1">
        <f t="shared" si="123"/>
        <v>0</v>
      </c>
      <c r="V106" s="1">
        <f t="shared" si="123"/>
        <v>0</v>
      </c>
      <c r="W106" s="1">
        <f t="shared" si="123"/>
        <v>0</v>
      </c>
      <c r="X106" s="1">
        <f t="shared" si="123"/>
        <v>0</v>
      </c>
      <c r="Y106" s="1">
        <f t="shared" si="123"/>
        <v>0</v>
      </c>
      <c r="Z106" s="1">
        <f t="shared" si="123"/>
        <v>0</v>
      </c>
      <c r="AA106" s="1">
        <f t="shared" si="123"/>
        <v>0</v>
      </c>
      <c r="AB106" s="1">
        <f t="shared" si="123"/>
        <v>0</v>
      </c>
      <c r="AC106" s="1">
        <f t="shared" si="123"/>
        <v>0</v>
      </c>
      <c r="AD106" s="1">
        <f t="shared" si="123"/>
        <v>0</v>
      </c>
      <c r="AE106" s="1">
        <f t="shared" si="123"/>
        <v>0</v>
      </c>
      <c r="AF106" s="1">
        <f t="shared" si="123"/>
        <v>0</v>
      </c>
      <c r="AG106" s="1">
        <f t="shared" si="123"/>
        <v>0</v>
      </c>
      <c r="AH106" s="1">
        <f t="shared" si="123"/>
        <v>0</v>
      </c>
      <c r="AI106" s="1">
        <f t="shared" si="123"/>
        <v>0</v>
      </c>
      <c r="AJ106" s="1">
        <f t="shared" si="123"/>
        <v>0</v>
      </c>
      <c r="AK106" s="1">
        <f t="shared" ref="AK106:AX106" si="124">AJ106</f>
        <v>0</v>
      </c>
      <c r="AL106" s="1">
        <f t="shared" si="124"/>
        <v>0</v>
      </c>
      <c r="AM106" s="1">
        <f t="shared" si="124"/>
        <v>0</v>
      </c>
      <c r="AN106" s="1">
        <f t="shared" si="124"/>
        <v>0</v>
      </c>
      <c r="AO106" s="1">
        <f t="shared" si="124"/>
        <v>0</v>
      </c>
      <c r="AP106" s="1">
        <f t="shared" si="124"/>
        <v>0</v>
      </c>
      <c r="AQ106" s="72">
        <f t="shared" si="124"/>
        <v>0</v>
      </c>
      <c r="AR106" s="72">
        <f t="shared" si="124"/>
        <v>0</v>
      </c>
      <c r="AS106" s="72">
        <f t="shared" si="124"/>
        <v>0</v>
      </c>
      <c r="AT106" s="72">
        <f t="shared" si="124"/>
        <v>0</v>
      </c>
      <c r="AU106" s="72">
        <f t="shared" si="124"/>
        <v>0</v>
      </c>
      <c r="AV106" s="72">
        <f t="shared" si="124"/>
        <v>0</v>
      </c>
      <c r="AW106" s="72">
        <f t="shared" si="124"/>
        <v>0</v>
      </c>
      <c r="AX106" s="72">
        <f t="shared" si="124"/>
        <v>0</v>
      </c>
      <c r="AY106" s="72"/>
      <c r="BA106" s="66"/>
      <c r="BC106" s="66"/>
    </row>
    <row r="107" spans="1:55" ht="15.75" hidden="1" customHeight="1" x14ac:dyDescent="0.25">
      <c r="A107" s="71" t="s">
        <v>86</v>
      </c>
      <c r="B107" s="19"/>
      <c r="C107" s="1"/>
      <c r="D107" s="1"/>
      <c r="E107" s="1"/>
      <c r="F107" s="1">
        <f>23000+1500</f>
        <v>24500</v>
      </c>
      <c r="G107" s="1">
        <f>1500</f>
        <v>1500</v>
      </c>
      <c r="H107" s="1">
        <f>1500</f>
        <v>1500</v>
      </c>
      <c r="I107" s="1">
        <f>H107</f>
        <v>1500</v>
      </c>
      <c r="J107" s="1">
        <f>1500+2500+2000</f>
        <v>6000</v>
      </c>
      <c r="K107" s="1">
        <v>3000</v>
      </c>
      <c r="L107" s="1">
        <f>3000+(12000/3)</f>
        <v>7000</v>
      </c>
      <c r="M107" s="1">
        <f>4333+1000+616+1500</f>
        <v>7449</v>
      </c>
      <c r="N107" s="1">
        <f>4333+1999</f>
        <v>6332</v>
      </c>
      <c r="O107" s="1">
        <v>0</v>
      </c>
      <c r="P107" s="1">
        <v>0</v>
      </c>
      <c r="Q107" s="1">
        <v>0</v>
      </c>
      <c r="R107" s="1">
        <v>0</v>
      </c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72"/>
      <c r="AR107" s="72"/>
      <c r="AS107" s="72"/>
      <c r="AT107" s="72"/>
      <c r="AU107" s="72"/>
      <c r="AV107" s="72"/>
      <c r="AW107" s="72"/>
      <c r="AX107" s="72"/>
      <c r="AY107" s="72"/>
      <c r="BC107" s="58"/>
    </row>
    <row r="108" spans="1:55" ht="15.75" customHeight="1" x14ac:dyDescent="0.25">
      <c r="A108" s="71" t="s">
        <v>159</v>
      </c>
      <c r="B108" s="19"/>
      <c r="C108" s="1"/>
      <c r="D108" s="1"/>
      <c r="E108" s="1"/>
      <c r="F108" s="1"/>
      <c r="G108" s="1"/>
      <c r="H108" s="1"/>
      <c r="I108" s="1"/>
      <c r="J108" s="1">
        <v>55863.13</v>
      </c>
      <c r="K108" s="1">
        <v>10780.43</v>
      </c>
      <c r="L108" s="1">
        <f>10780</f>
        <v>10780</v>
      </c>
      <c r="M108" s="1">
        <f t="shared" ref="M108:AJ108" si="125">L108</f>
        <v>10780</v>
      </c>
      <c r="N108" s="1">
        <f t="shared" si="125"/>
        <v>10780</v>
      </c>
      <c r="O108" s="1">
        <v>0</v>
      </c>
      <c r="P108" s="63">
        <v>0</v>
      </c>
      <c r="Q108" s="1">
        <v>0</v>
      </c>
      <c r="R108" s="1">
        <f>8618.25+22222.32</f>
        <v>30840.57</v>
      </c>
      <c r="S108" s="1">
        <v>10780.63</v>
      </c>
      <c r="T108" s="1">
        <f t="shared" si="125"/>
        <v>10780.63</v>
      </c>
      <c r="U108" s="1">
        <f t="shared" si="125"/>
        <v>10780.63</v>
      </c>
      <c r="V108" s="1">
        <f t="shared" si="125"/>
        <v>10780.63</v>
      </c>
      <c r="W108" s="1">
        <f t="shared" si="125"/>
        <v>10780.63</v>
      </c>
      <c r="X108" s="1">
        <f t="shared" si="125"/>
        <v>10780.63</v>
      </c>
      <c r="Y108" s="1">
        <f t="shared" si="125"/>
        <v>10780.63</v>
      </c>
      <c r="Z108" s="1">
        <f t="shared" si="125"/>
        <v>10780.63</v>
      </c>
      <c r="AA108" s="1">
        <f t="shared" si="125"/>
        <v>10780.63</v>
      </c>
      <c r="AB108" s="1">
        <f t="shared" si="125"/>
        <v>10780.63</v>
      </c>
      <c r="AC108" s="1">
        <v>10780.41</v>
      </c>
      <c r="AD108" s="1">
        <f t="shared" si="125"/>
        <v>10780.41</v>
      </c>
      <c r="AE108" s="1">
        <f t="shared" si="125"/>
        <v>10780.41</v>
      </c>
      <c r="AF108" s="1">
        <f t="shared" si="125"/>
        <v>10780.41</v>
      </c>
      <c r="AG108" s="1">
        <f t="shared" si="125"/>
        <v>10780.41</v>
      </c>
      <c r="AH108" s="1">
        <f t="shared" si="125"/>
        <v>10780.41</v>
      </c>
      <c r="AI108" s="1">
        <f t="shared" si="125"/>
        <v>10780.41</v>
      </c>
      <c r="AJ108" s="1">
        <f t="shared" si="125"/>
        <v>10780.41</v>
      </c>
      <c r="AK108" s="1">
        <f t="shared" ref="AK108:AX108" si="126">AJ108</f>
        <v>10780.41</v>
      </c>
      <c r="AL108" s="1">
        <f t="shared" si="126"/>
        <v>10780.41</v>
      </c>
      <c r="AM108" s="1">
        <f t="shared" si="126"/>
        <v>10780.41</v>
      </c>
      <c r="AN108" s="1">
        <f t="shared" si="126"/>
        <v>10780.41</v>
      </c>
      <c r="AO108" s="1">
        <f t="shared" si="126"/>
        <v>10780.41</v>
      </c>
      <c r="AP108" s="1">
        <f t="shared" si="126"/>
        <v>10780.41</v>
      </c>
      <c r="AQ108" s="1">
        <f t="shared" si="126"/>
        <v>10780.41</v>
      </c>
      <c r="AR108" s="72">
        <f t="shared" si="126"/>
        <v>10780.41</v>
      </c>
      <c r="AS108" s="72">
        <f t="shared" si="126"/>
        <v>10780.41</v>
      </c>
      <c r="AT108" s="72">
        <f t="shared" si="126"/>
        <v>10780.41</v>
      </c>
      <c r="AU108" s="72">
        <f t="shared" si="126"/>
        <v>10780.41</v>
      </c>
      <c r="AV108" s="72">
        <f t="shared" si="126"/>
        <v>10780.41</v>
      </c>
      <c r="AW108" s="72">
        <f t="shared" si="126"/>
        <v>10780.41</v>
      </c>
      <c r="AX108" s="72">
        <f t="shared" si="126"/>
        <v>10780.41</v>
      </c>
      <c r="AY108" s="72"/>
    </row>
    <row r="109" spans="1:55" ht="15.75" hidden="1" customHeight="1" x14ac:dyDescent="0.25">
      <c r="A109" s="71" t="s">
        <v>129</v>
      </c>
      <c r="B109" s="19"/>
      <c r="C109" s="1"/>
      <c r="D109" s="1"/>
      <c r="E109" s="1"/>
      <c r="F109" s="1"/>
      <c r="G109" s="1"/>
      <c r="H109" s="1">
        <f>36925+467458.47</f>
        <v>504383.47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>
        <f>U97</f>
        <v>84453</v>
      </c>
      <c r="V109" s="1">
        <f>V97+18000</f>
        <v>71040.205000000002</v>
      </c>
      <c r="W109" s="1">
        <f t="shared" ref="W109:AK109" si="127">W97</f>
        <v>43213.189499999993</v>
      </c>
      <c r="X109" s="1">
        <f t="shared" si="127"/>
        <v>0</v>
      </c>
      <c r="Y109" s="1">
        <f t="shared" si="127"/>
        <v>0</v>
      </c>
      <c r="Z109" s="1">
        <f t="shared" si="127"/>
        <v>0</v>
      </c>
      <c r="AA109" s="1">
        <f t="shared" si="127"/>
        <v>0</v>
      </c>
      <c r="AB109" s="1">
        <f t="shared" si="127"/>
        <v>0</v>
      </c>
      <c r="AC109" s="1">
        <f t="shared" si="127"/>
        <v>0</v>
      </c>
      <c r="AD109" s="1">
        <f t="shared" si="127"/>
        <v>0</v>
      </c>
      <c r="AE109" s="1">
        <f t="shared" si="127"/>
        <v>0</v>
      </c>
      <c r="AF109" s="1">
        <f t="shared" si="127"/>
        <v>0</v>
      </c>
      <c r="AG109" s="1">
        <f t="shared" si="127"/>
        <v>0</v>
      </c>
      <c r="AH109" s="1">
        <f t="shared" si="127"/>
        <v>0</v>
      </c>
      <c r="AI109" s="1">
        <f t="shared" si="127"/>
        <v>0</v>
      </c>
      <c r="AJ109" s="1">
        <f t="shared" si="127"/>
        <v>0</v>
      </c>
      <c r="AK109" s="1">
        <f t="shared" si="127"/>
        <v>0</v>
      </c>
      <c r="AL109" s="1">
        <f>AL97</f>
        <v>0</v>
      </c>
      <c r="AM109" s="1">
        <f>AM97</f>
        <v>0</v>
      </c>
      <c r="AN109" s="1">
        <f>AN97</f>
        <v>0</v>
      </c>
      <c r="AO109" s="1">
        <f>AO97</f>
        <v>0</v>
      </c>
      <c r="AP109" s="1">
        <f t="shared" ref="AP109:AQ109" si="128">AP97</f>
        <v>0</v>
      </c>
      <c r="AQ109" s="72">
        <f t="shared" si="128"/>
        <v>0</v>
      </c>
      <c r="AR109" s="72">
        <f t="shared" ref="AR109:AS109" si="129">AR97</f>
        <v>0</v>
      </c>
      <c r="AS109" s="72">
        <f t="shared" si="129"/>
        <v>0</v>
      </c>
      <c r="AT109" s="72">
        <f t="shared" ref="AT109:AV109" si="130">AT97</f>
        <v>0</v>
      </c>
      <c r="AU109" s="72">
        <f t="shared" si="130"/>
        <v>0</v>
      </c>
      <c r="AV109" s="72">
        <f t="shared" si="130"/>
        <v>0</v>
      </c>
      <c r="AW109" s="72">
        <f t="shared" ref="AW109" si="131">AW97</f>
        <v>0</v>
      </c>
      <c r="AX109" s="72">
        <f t="shared" ref="AX109" si="132">AX97</f>
        <v>0</v>
      </c>
      <c r="AY109" s="72"/>
    </row>
    <row r="110" spans="1:55" ht="15.75" hidden="1" customHeight="1" x14ac:dyDescent="0.25">
      <c r="A110" s="71" t="s">
        <v>170</v>
      </c>
      <c r="B110" s="19"/>
      <c r="C110" s="1"/>
      <c r="D110" s="1"/>
      <c r="E110" s="1"/>
      <c r="F110" s="1"/>
      <c r="G110" s="1"/>
      <c r="H110" s="1"/>
      <c r="I110" s="1"/>
      <c r="J110" s="1"/>
      <c r="L110" s="1"/>
      <c r="M110" s="1"/>
      <c r="N110" s="1"/>
      <c r="O110" s="1"/>
      <c r="P110" s="1"/>
      <c r="Q110" s="1">
        <v>13169</v>
      </c>
      <c r="R110" s="1">
        <v>6231</v>
      </c>
      <c r="S110" s="1">
        <f>R110*1.2</f>
        <v>7477.2</v>
      </c>
      <c r="T110" s="1">
        <v>11961</v>
      </c>
      <c r="U110" s="1">
        <v>12351</v>
      </c>
      <c r="V110" s="1">
        <v>21382.16</v>
      </c>
      <c r="W110" s="1">
        <v>6216</v>
      </c>
      <c r="X110" s="1">
        <f>W110*1.02</f>
        <v>6340.32</v>
      </c>
      <c r="Y110" s="1">
        <v>2500</v>
      </c>
      <c r="Z110" s="1">
        <v>3200</v>
      </c>
      <c r="AA110" s="1">
        <v>3147</v>
      </c>
      <c r="AB110" s="1">
        <v>1500</v>
      </c>
      <c r="AC110" s="1">
        <v>2273</v>
      </c>
      <c r="AD110" s="1">
        <v>2273</v>
      </c>
      <c r="AE110" s="1">
        <v>1773</v>
      </c>
      <c r="AF110" s="1">
        <v>899</v>
      </c>
      <c r="AG110" s="1">
        <v>899</v>
      </c>
      <c r="AH110" s="1">
        <v>899</v>
      </c>
      <c r="AI110" s="1">
        <v>899</v>
      </c>
      <c r="AJ110" s="1">
        <v>899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72">
        <v>0</v>
      </c>
      <c r="AR110" s="72">
        <v>0</v>
      </c>
      <c r="AS110" s="72">
        <v>0</v>
      </c>
      <c r="AT110" s="72">
        <v>0</v>
      </c>
      <c r="AU110" s="72">
        <v>0</v>
      </c>
      <c r="AV110" s="72">
        <v>0</v>
      </c>
      <c r="AW110" s="72">
        <v>0</v>
      </c>
      <c r="AX110" s="72">
        <v>0</v>
      </c>
      <c r="AY110" s="72"/>
    </row>
    <row r="111" spans="1:55" ht="15.75" customHeight="1" x14ac:dyDescent="0.25">
      <c r="A111" s="71" t="s">
        <v>167</v>
      </c>
      <c r="B111" s="19"/>
      <c r="C111" s="1"/>
      <c r="D111" s="1"/>
      <c r="E111" s="1"/>
      <c r="F111" s="1"/>
      <c r="H111" s="1"/>
      <c r="I111" s="1"/>
      <c r="J111" s="1">
        <v>11692.58</v>
      </c>
      <c r="K111" s="1">
        <v>992.5</v>
      </c>
      <c r="L111" s="1">
        <v>5213.7</v>
      </c>
      <c r="M111" s="1">
        <v>75608.42</v>
      </c>
      <c r="N111" s="1">
        <v>249167.52</v>
      </c>
      <c r="O111" s="1">
        <v>290774.06</v>
      </c>
      <c r="P111" s="1">
        <v>71553.73</v>
      </c>
      <c r="Q111" s="1">
        <v>92031.28</v>
      </c>
      <c r="R111" s="1">
        <v>145767</v>
      </c>
      <c r="S111" s="1">
        <f>R111/3</f>
        <v>48589</v>
      </c>
      <c r="T111" s="1">
        <v>74941</v>
      </c>
      <c r="U111" s="1">
        <v>96224.43</v>
      </c>
      <c r="V111" s="1">
        <v>40910.65</v>
      </c>
      <c r="W111" s="1">
        <v>156784</v>
      </c>
      <c r="X111" s="35">
        <f>0.75*W111</f>
        <v>117588</v>
      </c>
      <c r="Y111" s="72">
        <v>85050</v>
      </c>
      <c r="Z111" s="72">
        <v>65000</v>
      </c>
      <c r="AA111" s="72">
        <v>8641</v>
      </c>
      <c r="AB111" s="72">
        <f>60000</f>
        <v>60000</v>
      </c>
      <c r="AC111" s="72">
        <v>25000</v>
      </c>
      <c r="AD111" s="72">
        <v>16864</v>
      </c>
      <c r="AE111" s="72">
        <v>2424</v>
      </c>
      <c r="AF111" s="72">
        <f>75000+43000</f>
        <v>118000</v>
      </c>
      <c r="AG111" s="72">
        <v>10000</v>
      </c>
      <c r="AH111" s="72">
        <v>10000</v>
      </c>
      <c r="AI111" s="72">
        <v>662</v>
      </c>
      <c r="AJ111" s="72">
        <v>0</v>
      </c>
      <c r="AK111" s="72">
        <v>0</v>
      </c>
      <c r="AL111" s="72">
        <v>0</v>
      </c>
      <c r="AM111" s="72">
        <v>0</v>
      </c>
      <c r="AN111" s="72">
        <v>655.72</v>
      </c>
      <c r="AO111" s="72">
        <v>148.32</v>
      </c>
      <c r="AP111" s="72">
        <v>0</v>
      </c>
      <c r="AQ111" s="72">
        <v>0</v>
      </c>
      <c r="AR111" s="72">
        <v>0</v>
      </c>
      <c r="AS111" s="72">
        <v>0</v>
      </c>
      <c r="AT111" s="72">
        <v>0</v>
      </c>
      <c r="AU111" s="72">
        <v>0</v>
      </c>
      <c r="AV111" s="72">
        <v>0</v>
      </c>
      <c r="AW111" s="72">
        <v>0</v>
      </c>
      <c r="AX111" s="72">
        <v>0</v>
      </c>
      <c r="AY111" s="72"/>
      <c r="BA111" s="75"/>
    </row>
    <row r="112" spans="1:55" ht="15.75" hidden="1" customHeight="1" x14ac:dyDescent="0.25">
      <c r="A112" s="71" t="s">
        <v>160</v>
      </c>
      <c r="B112" s="19"/>
      <c r="C112" s="1"/>
      <c r="D112" s="1"/>
      <c r="E112" s="1"/>
      <c r="F112" s="1"/>
      <c r="H112">
        <f>1330</f>
        <v>1330</v>
      </c>
      <c r="I112" s="1">
        <f>33840</f>
        <v>33840</v>
      </c>
      <c r="J112" s="1"/>
      <c r="K112" s="1">
        <v>39335.57</v>
      </c>
      <c r="L112" s="1">
        <f>19389.35</f>
        <v>19389.349999999999</v>
      </c>
      <c r="M112" s="1"/>
      <c r="N112" s="1"/>
      <c r="O112" s="1"/>
      <c r="P112" s="1"/>
      <c r="S112" s="1"/>
      <c r="T112" s="1"/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72">
        <v>0</v>
      </c>
      <c r="AR112" s="72">
        <v>0</v>
      </c>
      <c r="AS112" s="72">
        <v>0</v>
      </c>
      <c r="AT112" s="72">
        <v>0</v>
      </c>
      <c r="AU112" s="72">
        <v>0</v>
      </c>
      <c r="AV112" s="72">
        <v>0</v>
      </c>
      <c r="AW112" s="72">
        <v>0</v>
      </c>
      <c r="AX112" s="72">
        <v>0</v>
      </c>
      <c r="AY112" s="72"/>
    </row>
    <row r="113" spans="1:51" ht="15.75" hidden="1" customHeight="1" x14ac:dyDescent="0.25">
      <c r="A113" s="71" t="s">
        <v>173</v>
      </c>
      <c r="B113" s="19"/>
      <c r="C113" s="1"/>
      <c r="D113" s="1"/>
      <c r="E113" s="1"/>
      <c r="F113" s="1"/>
      <c r="J113" s="1"/>
      <c r="K113" s="1">
        <v>735</v>
      </c>
      <c r="L113" s="1"/>
      <c r="M113" s="1"/>
      <c r="N113" s="1"/>
      <c r="O113" s="1">
        <v>0</v>
      </c>
      <c r="P113" s="1"/>
      <c r="Q113" s="1"/>
      <c r="R113" s="1">
        <v>10458</v>
      </c>
      <c r="S113" s="1">
        <f>5118.75</f>
        <v>5118.75</v>
      </c>
      <c r="T113" s="1">
        <v>0</v>
      </c>
      <c r="U113" s="1">
        <v>67920</v>
      </c>
      <c r="V113" s="1">
        <v>23903.25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51070</v>
      </c>
      <c r="AC113" s="1">
        <v>3423</v>
      </c>
      <c r="AD113" s="1">
        <v>8579</v>
      </c>
      <c r="AE113" s="1">
        <v>56716.41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72">
        <v>0</v>
      </c>
      <c r="AR113" s="72">
        <v>0</v>
      </c>
      <c r="AS113" s="72">
        <v>0</v>
      </c>
      <c r="AT113" s="72">
        <v>0</v>
      </c>
      <c r="AU113" s="72">
        <v>0</v>
      </c>
      <c r="AV113" s="72">
        <v>0</v>
      </c>
      <c r="AW113" s="72">
        <v>0</v>
      </c>
      <c r="AX113" s="72">
        <v>0</v>
      </c>
      <c r="AY113" s="72"/>
    </row>
    <row r="114" spans="1:51" s="82" customFormat="1" ht="15.75" customHeight="1" x14ac:dyDescent="0.25">
      <c r="A114" s="87" t="s">
        <v>176</v>
      </c>
      <c r="B114" s="73"/>
      <c r="C114" s="72"/>
      <c r="D114" s="72"/>
      <c r="E114" s="72"/>
      <c r="F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>
        <f>580567-501635</f>
        <v>78932</v>
      </c>
      <c r="T114" s="72"/>
      <c r="U114" s="72">
        <v>77703.92</v>
      </c>
      <c r="V114" s="72">
        <v>1033.46</v>
      </c>
      <c r="W114" s="72">
        <v>150</v>
      </c>
      <c r="X114" s="72">
        <v>150</v>
      </c>
      <c r="Y114" s="72">
        <v>2500</v>
      </c>
      <c r="Z114" s="72">
        <v>500</v>
      </c>
      <c r="AA114" s="72">
        <f>11043</f>
        <v>11043</v>
      </c>
      <c r="AB114" s="72">
        <f>0.8*AA114</f>
        <v>8834.4</v>
      </c>
      <c r="AC114" s="72">
        <v>6900</v>
      </c>
      <c r="AD114" s="72">
        <v>11868.03</v>
      </c>
      <c r="AE114" s="72">
        <v>10000</v>
      </c>
      <c r="AF114" s="72">
        <f t="shared" ref="AA114:AH115" si="133">AE114</f>
        <v>10000</v>
      </c>
      <c r="AG114" s="72">
        <f t="shared" si="133"/>
        <v>10000</v>
      </c>
      <c r="AH114" s="72">
        <f t="shared" si="133"/>
        <v>10000</v>
      </c>
      <c r="AI114" s="72">
        <v>14000</v>
      </c>
      <c r="AJ114" s="72">
        <v>10000</v>
      </c>
      <c r="AK114" s="72">
        <v>11820.66</v>
      </c>
      <c r="AL114" s="72">
        <v>10000</v>
      </c>
      <c r="AM114" s="72">
        <v>13023.5</v>
      </c>
      <c r="AN114" s="72">
        <v>4278.32</v>
      </c>
      <c r="AO114" s="72">
        <v>22607.14</v>
      </c>
      <c r="AP114" s="72">
        <v>13804.33</v>
      </c>
      <c r="AQ114" s="72">
        <f t="shared" ref="AQ114:AX114" si="134">AP114</f>
        <v>13804.33</v>
      </c>
      <c r="AR114" s="72">
        <v>8000</v>
      </c>
      <c r="AS114" s="72">
        <f t="shared" si="134"/>
        <v>8000</v>
      </c>
      <c r="AT114" s="72">
        <f t="shared" si="134"/>
        <v>8000</v>
      </c>
      <c r="AU114" s="72">
        <f t="shared" si="134"/>
        <v>8000</v>
      </c>
      <c r="AV114" s="72">
        <f t="shared" si="134"/>
        <v>8000</v>
      </c>
      <c r="AW114" s="72">
        <f t="shared" si="134"/>
        <v>8000</v>
      </c>
      <c r="AX114" s="72">
        <f t="shared" si="134"/>
        <v>8000</v>
      </c>
      <c r="AY114" s="72"/>
    </row>
    <row r="115" spans="1:51" ht="15.75" customHeight="1" x14ac:dyDescent="0.25">
      <c r="A115" s="71" t="s">
        <v>204</v>
      </c>
      <c r="B115" s="19"/>
      <c r="C115" s="1"/>
      <c r="D115" s="1"/>
      <c r="E115" s="1"/>
      <c r="F115" s="1"/>
      <c r="J115" s="1"/>
      <c r="K115" s="1"/>
      <c r="L115" s="1"/>
      <c r="M115" s="1">
        <f t="shared" ref="M115:U115" si="135">L115</f>
        <v>0</v>
      </c>
      <c r="N115" s="1">
        <f t="shared" si="135"/>
        <v>0</v>
      </c>
      <c r="O115" s="1">
        <f t="shared" si="135"/>
        <v>0</v>
      </c>
      <c r="P115" s="1">
        <f t="shared" si="135"/>
        <v>0</v>
      </c>
      <c r="Q115" s="1">
        <f t="shared" si="135"/>
        <v>0</v>
      </c>
      <c r="R115" s="1">
        <f t="shared" si="135"/>
        <v>0</v>
      </c>
      <c r="S115" s="1">
        <f t="shared" si="135"/>
        <v>0</v>
      </c>
      <c r="T115" s="1">
        <f t="shared" si="135"/>
        <v>0</v>
      </c>
      <c r="U115" s="1">
        <f t="shared" si="135"/>
        <v>0</v>
      </c>
      <c r="V115" s="1">
        <f>U115</f>
        <v>0</v>
      </c>
      <c r="W115" s="1">
        <f>V115</f>
        <v>0</v>
      </c>
      <c r="X115" s="1">
        <f>W115</f>
        <v>0</v>
      </c>
      <c r="Y115" s="1">
        <f>X115</f>
        <v>0</v>
      </c>
      <c r="Z115" s="1">
        <f>Y115</f>
        <v>0</v>
      </c>
      <c r="AA115" s="1">
        <f t="shared" si="133"/>
        <v>0</v>
      </c>
      <c r="AB115" s="1">
        <f t="shared" si="133"/>
        <v>0</v>
      </c>
      <c r="AC115" s="1">
        <f t="shared" si="133"/>
        <v>0</v>
      </c>
      <c r="AD115" s="1">
        <f t="shared" si="133"/>
        <v>0</v>
      </c>
      <c r="AE115" s="1">
        <f>122000-122000+3700</f>
        <v>3700</v>
      </c>
      <c r="AF115" s="1">
        <f>(AF104*$AW104)+(AF104*$AZ104)</f>
        <v>1</v>
      </c>
      <c r="AG115" s="1">
        <f>(AG104*$AW104)+(AG104*$AZ104)</f>
        <v>1</v>
      </c>
      <c r="AH115" s="1">
        <v>0</v>
      </c>
      <c r="AI115" s="1">
        <v>0</v>
      </c>
      <c r="AJ115" s="1">
        <f t="shared" ref="AJ115:AR115" si="136">(AJ104*$AW104)+(AJ104*$AZ104)</f>
        <v>1</v>
      </c>
      <c r="AK115" s="1">
        <f t="shared" si="136"/>
        <v>2</v>
      </c>
      <c r="AL115" s="1">
        <f t="shared" si="136"/>
        <v>0</v>
      </c>
      <c r="AM115" s="1">
        <f t="shared" si="136"/>
        <v>0</v>
      </c>
      <c r="AN115" s="1">
        <f t="shared" si="136"/>
        <v>0</v>
      </c>
      <c r="AO115" s="1">
        <f t="shared" si="136"/>
        <v>0</v>
      </c>
      <c r="AP115" s="1">
        <f t="shared" si="136"/>
        <v>6</v>
      </c>
      <c r="AQ115" s="72">
        <v>0</v>
      </c>
      <c r="AR115" s="72">
        <f t="shared" si="136"/>
        <v>0</v>
      </c>
      <c r="AS115" s="72">
        <v>0</v>
      </c>
      <c r="AT115" s="72">
        <v>20000</v>
      </c>
      <c r="AU115" s="72">
        <v>20000</v>
      </c>
      <c r="AV115" s="72">
        <v>20000</v>
      </c>
      <c r="AW115" s="72">
        <v>20000</v>
      </c>
      <c r="AX115" s="72">
        <v>20000</v>
      </c>
      <c r="AY115" s="72"/>
    </row>
    <row r="116" spans="1:51" ht="15.75" hidden="1" customHeight="1" x14ac:dyDescent="0.25">
      <c r="A116" s="71" t="s">
        <v>169</v>
      </c>
      <c r="B116" s="19"/>
      <c r="C116" s="1"/>
      <c r="D116" s="1"/>
      <c r="E116" s="1"/>
      <c r="F116" s="1"/>
      <c r="G116" s="1"/>
      <c r="H116" s="1">
        <v>331788</v>
      </c>
      <c r="I116" s="1"/>
      <c r="J116" s="1"/>
      <c r="L116" s="1"/>
      <c r="M116" s="1"/>
      <c r="N116" s="1"/>
      <c r="O116" s="1"/>
      <c r="P116" s="1"/>
      <c r="Q116" s="1"/>
      <c r="R116" s="1">
        <v>114676.3</v>
      </c>
      <c r="S116" s="1">
        <v>128704.82</v>
      </c>
      <c r="T116" s="1">
        <v>21163.279999999999</v>
      </c>
      <c r="U116" s="1">
        <v>0</v>
      </c>
      <c r="V116" s="1">
        <v>0</v>
      </c>
      <c r="W116" s="1">
        <v>0</v>
      </c>
      <c r="X116" s="1">
        <v>43772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72"/>
      <c r="AK116" s="72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72">
        <v>0</v>
      </c>
      <c r="AR116" s="72">
        <v>0</v>
      </c>
      <c r="AS116" s="72">
        <v>0</v>
      </c>
      <c r="AT116" s="72">
        <v>0</v>
      </c>
      <c r="AU116" s="72">
        <v>0</v>
      </c>
      <c r="AV116" s="72">
        <v>0</v>
      </c>
      <c r="AW116" s="72">
        <v>0</v>
      </c>
      <c r="AX116" s="72">
        <v>0</v>
      </c>
      <c r="AY116" s="72"/>
    </row>
    <row r="117" spans="1:51" ht="15.75" customHeight="1" x14ac:dyDescent="0.25">
      <c r="A117" s="71" t="s">
        <v>201</v>
      </c>
      <c r="B117" s="19"/>
      <c r="C117" s="1"/>
      <c r="D117" s="1"/>
      <c r="E117" s="1"/>
      <c r="F117" s="1"/>
      <c r="G117" s="1"/>
      <c r="H117" s="1"/>
      <c r="I117" s="1"/>
      <c r="J117" s="1"/>
      <c r="L117" s="1"/>
      <c r="M117" s="1"/>
      <c r="N117" s="1"/>
      <c r="O117" s="1"/>
      <c r="P117" s="1"/>
      <c r="Q117" s="1"/>
      <c r="R117" s="1"/>
      <c r="S117" s="1"/>
      <c r="T117" s="1"/>
      <c r="U117" s="1">
        <v>1700</v>
      </c>
      <c r="V117" s="1">
        <v>850</v>
      </c>
      <c r="W117" s="1">
        <f>850+(15000*W102)</f>
        <v>850</v>
      </c>
      <c r="X117" s="1">
        <v>7713</v>
      </c>
      <c r="Y117" s="1">
        <f t="shared" ref="Y117:AD117" si="137">850+100+(15000*Y102)</f>
        <v>15950</v>
      </c>
      <c r="Z117" s="1">
        <f>850+100+(13000*Z102)</f>
        <v>13950</v>
      </c>
      <c r="AA117" s="1">
        <f t="shared" si="137"/>
        <v>950</v>
      </c>
      <c r="AB117" s="1">
        <f t="shared" si="137"/>
        <v>15950</v>
      </c>
      <c r="AC117" s="1">
        <f>850+100+(15000*AC102)</f>
        <v>15950</v>
      </c>
      <c r="AD117" s="1">
        <f t="shared" si="137"/>
        <v>950</v>
      </c>
      <c r="AE117" s="1">
        <f>850+100+300</f>
        <v>1250</v>
      </c>
      <c r="AF117" s="1">
        <f>850+100+(20000*AF102)</f>
        <v>20950</v>
      </c>
      <c r="AG117" s="1">
        <f t="shared" ref="AG117:AH117" si="138">850+100+(15000*AG102)</f>
        <v>15950</v>
      </c>
      <c r="AH117" s="1">
        <f t="shared" si="138"/>
        <v>15950</v>
      </c>
      <c r="AI117" s="1">
        <f>850+100+(15000*AI102)+AI138</f>
        <v>200950</v>
      </c>
      <c r="AJ117" s="72">
        <f>1000+100+25000+15000+AJ138</f>
        <v>120100</v>
      </c>
      <c r="AK117" s="1">
        <v>-206500</v>
      </c>
      <c r="AL117" s="1">
        <v>50000</v>
      </c>
      <c r="AM117" s="1">
        <v>12500</v>
      </c>
      <c r="AN117" s="1">
        <f t="shared" ref="AN117:AV117" si="139">(AN138+AN140)</f>
        <v>0</v>
      </c>
      <c r="AO117" s="1">
        <f>(AO138+AO140)</f>
        <v>9076</v>
      </c>
      <c r="AP117" s="1">
        <f t="shared" si="139"/>
        <v>0</v>
      </c>
      <c r="AQ117" s="1">
        <v>25000</v>
      </c>
      <c r="AR117" s="1">
        <v>25000</v>
      </c>
      <c r="AS117" s="1">
        <v>62500</v>
      </c>
      <c r="AT117" s="1">
        <f t="shared" ref="AT117:AU117" si="140">(AT138+AT140)</f>
        <v>37500</v>
      </c>
      <c r="AU117" s="1">
        <f t="shared" si="140"/>
        <v>50000</v>
      </c>
      <c r="AV117" s="1">
        <f t="shared" si="139"/>
        <v>37500</v>
      </c>
      <c r="AW117" s="1">
        <f t="shared" ref="AW117" si="141">(AW138+AW140)</f>
        <v>37500</v>
      </c>
      <c r="AX117" s="1">
        <f t="shared" ref="AX117" si="142">(AX138+AX140)</f>
        <v>37500</v>
      </c>
      <c r="AY117" s="1"/>
    </row>
    <row r="118" spans="1:51" ht="15.75" customHeight="1" x14ac:dyDescent="0.25">
      <c r="A118" s="71" t="s">
        <v>224</v>
      </c>
      <c r="B118" s="19"/>
      <c r="C118" s="1"/>
      <c r="D118" s="1"/>
      <c r="E118" s="1"/>
      <c r="F118" s="1"/>
      <c r="G118" s="1"/>
      <c r="H118" s="1"/>
      <c r="I118" s="1"/>
      <c r="J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72"/>
      <c r="AK118" s="1">
        <v>0</v>
      </c>
      <c r="AL118" s="1">
        <f t="shared" ref="AL118:AP118" si="143">+AL144</f>
        <v>0</v>
      </c>
      <c r="AM118" s="1">
        <f t="shared" si="143"/>
        <v>0</v>
      </c>
      <c r="AN118" s="1">
        <f t="shared" si="143"/>
        <v>0</v>
      </c>
      <c r="AO118" s="1">
        <f>+AO144</f>
        <v>0</v>
      </c>
      <c r="AP118" s="1">
        <f t="shared" si="143"/>
        <v>0</v>
      </c>
      <c r="AQ118" s="1">
        <f t="shared" ref="AQ118" si="144">+AQ144</f>
        <v>0</v>
      </c>
      <c r="AR118" s="1">
        <v>0</v>
      </c>
      <c r="AS118" s="1">
        <f t="shared" ref="AS118:AU118" si="145">+AS144</f>
        <v>0</v>
      </c>
      <c r="AT118" s="1">
        <f t="shared" si="145"/>
        <v>25000</v>
      </c>
      <c r="AU118" s="1">
        <f t="shared" si="145"/>
        <v>25000</v>
      </c>
      <c r="AV118" s="1">
        <f t="shared" ref="AV118" si="146">+AV144</f>
        <v>25000</v>
      </c>
      <c r="AW118" s="1">
        <f t="shared" ref="AW118" si="147">+AW144</f>
        <v>25000</v>
      </c>
      <c r="AX118" s="1">
        <f t="shared" ref="AX118" si="148">+AX144</f>
        <v>25000</v>
      </c>
      <c r="AY118" s="1"/>
    </row>
    <row r="119" spans="1:51" ht="15.75" customHeight="1" x14ac:dyDescent="0.25">
      <c r="A119" s="61" t="s">
        <v>232</v>
      </c>
      <c r="B119" s="19"/>
      <c r="C119" s="1"/>
      <c r="D119" s="1"/>
      <c r="E119" s="1"/>
      <c r="F119" s="1"/>
      <c r="G119" s="1"/>
      <c r="H119" s="1"/>
      <c r="I119" s="1"/>
      <c r="J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>
        <f>187904</f>
        <v>187904</v>
      </c>
      <c r="AF119" s="1">
        <v>0</v>
      </c>
      <c r="AG119" s="1">
        <v>0</v>
      </c>
      <c r="AH119" s="1">
        <v>30000</v>
      </c>
      <c r="AI119" s="1"/>
      <c r="AJ119" s="1">
        <v>44216.76</v>
      </c>
      <c r="AK119" s="72">
        <v>0</v>
      </c>
      <c r="AL119" s="72">
        <v>6769.11</v>
      </c>
      <c r="AM119" s="72">
        <v>0</v>
      </c>
      <c r="AN119" s="72">
        <v>0</v>
      </c>
      <c r="AO119" s="72">
        <f t="shared" ref="AO119:AV119" si="149">+AO142</f>
        <v>0</v>
      </c>
      <c r="AP119" s="72">
        <f t="shared" si="149"/>
        <v>0</v>
      </c>
      <c r="AQ119" s="72">
        <f t="shared" ref="AQ119" si="150">+AQ142</f>
        <v>0</v>
      </c>
      <c r="AR119" s="72">
        <v>0</v>
      </c>
      <c r="AS119" s="72">
        <v>10700</v>
      </c>
      <c r="AT119" s="72">
        <f t="shared" ref="AT119:AU119" si="151">+AT142</f>
        <v>25000</v>
      </c>
      <c r="AU119" s="72">
        <f t="shared" si="151"/>
        <v>25000</v>
      </c>
      <c r="AV119" s="72">
        <f t="shared" si="149"/>
        <v>25000</v>
      </c>
      <c r="AW119" s="72">
        <f t="shared" ref="AW119" si="152">+AW142</f>
        <v>25000</v>
      </c>
      <c r="AX119" s="72">
        <f t="shared" ref="AX119" si="153">+AX142</f>
        <v>25000</v>
      </c>
      <c r="AY119" s="72"/>
    </row>
    <row r="120" spans="1:51" ht="15.75" hidden="1" customHeight="1" x14ac:dyDescent="0.25">
      <c r="A120" s="71" t="s">
        <v>129</v>
      </c>
      <c r="B120" s="19"/>
      <c r="C120" s="1"/>
      <c r="D120" s="1"/>
      <c r="E120" s="1"/>
      <c r="F120" s="1"/>
      <c r="G120" s="1"/>
      <c r="H120" s="1">
        <v>0</v>
      </c>
      <c r="I120" s="1">
        <v>0</v>
      </c>
      <c r="J120" s="1">
        <f>I120*3</f>
        <v>0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72"/>
      <c r="AR120" s="72"/>
      <c r="AS120" s="72"/>
      <c r="AT120" s="72"/>
      <c r="AU120" s="72"/>
      <c r="AV120" s="72"/>
      <c r="AW120" s="72"/>
      <c r="AX120" s="72"/>
      <c r="AY120" s="72"/>
    </row>
    <row r="121" spans="1:51" ht="15.75" customHeight="1" x14ac:dyDescent="0.25">
      <c r="A121" s="71" t="str">
        <f>A60</f>
        <v>Escrow Payments</v>
      </c>
      <c r="B121" s="19"/>
      <c r="C121" s="1"/>
      <c r="D121" s="1"/>
      <c r="E121" s="1"/>
      <c r="F121" s="1"/>
      <c r="G121" s="1"/>
      <c r="H121" s="1">
        <f>I60</f>
        <v>0</v>
      </c>
      <c r="I121" s="1">
        <f>J60</f>
        <v>0</v>
      </c>
      <c r="J121" s="1">
        <f>I121*3</f>
        <v>0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>
        <v>2381.11</v>
      </c>
      <c r="AL121" s="1">
        <v>409</v>
      </c>
      <c r="AM121" s="1">
        <v>0</v>
      </c>
      <c r="AN121" s="1">
        <v>0</v>
      </c>
      <c r="AO121" s="1">
        <v>0</v>
      </c>
      <c r="AP121" s="1">
        <v>0</v>
      </c>
      <c r="AQ121" s="72">
        <v>0</v>
      </c>
      <c r="AR121" s="72">
        <v>0</v>
      </c>
      <c r="AS121" s="72">
        <v>0</v>
      </c>
      <c r="AT121" s="72">
        <v>0</v>
      </c>
      <c r="AU121" s="72">
        <v>0</v>
      </c>
      <c r="AV121" s="72">
        <v>0</v>
      </c>
      <c r="AW121" s="72">
        <v>0</v>
      </c>
      <c r="AX121" s="72">
        <v>0</v>
      </c>
      <c r="AY121" s="72"/>
    </row>
    <row r="122" spans="1:51" ht="15.75" customHeight="1" x14ac:dyDescent="0.25">
      <c r="A122" s="71" t="s">
        <v>138</v>
      </c>
      <c r="B122" s="19"/>
      <c r="C122" s="1"/>
      <c r="D122" s="1"/>
      <c r="E122" s="1"/>
      <c r="F122" s="1"/>
      <c r="G122" s="1"/>
      <c r="H122" s="1">
        <v>0</v>
      </c>
      <c r="I122" s="1">
        <v>0</v>
      </c>
      <c r="J122" s="1">
        <f>I122*3</f>
        <v>0</v>
      </c>
      <c r="K122" s="1">
        <f t="shared" ref="K122:AP122" si="154">$AW122*K96</f>
        <v>0</v>
      </c>
      <c r="L122" s="1">
        <f t="shared" si="154"/>
        <v>0</v>
      </c>
      <c r="M122" s="1">
        <f t="shared" si="154"/>
        <v>0</v>
      </c>
      <c r="N122" s="1">
        <f t="shared" si="154"/>
        <v>0</v>
      </c>
      <c r="O122" s="1">
        <f t="shared" si="154"/>
        <v>0</v>
      </c>
      <c r="P122" s="1">
        <f t="shared" si="154"/>
        <v>0</v>
      </c>
      <c r="Q122" s="1">
        <f t="shared" si="154"/>
        <v>0</v>
      </c>
      <c r="R122" s="1">
        <f t="shared" si="154"/>
        <v>0</v>
      </c>
      <c r="S122" s="1">
        <f t="shared" si="154"/>
        <v>0</v>
      </c>
      <c r="T122" s="1">
        <f t="shared" si="154"/>
        <v>0</v>
      </c>
      <c r="U122" s="1">
        <f t="shared" si="154"/>
        <v>0</v>
      </c>
      <c r="V122" s="1">
        <f t="shared" si="154"/>
        <v>0</v>
      </c>
      <c r="W122" s="1">
        <f t="shared" si="154"/>
        <v>0</v>
      </c>
      <c r="X122" s="1">
        <f t="shared" si="154"/>
        <v>0</v>
      </c>
      <c r="Y122" s="1">
        <f t="shared" si="154"/>
        <v>0</v>
      </c>
      <c r="Z122" s="1">
        <f t="shared" si="154"/>
        <v>0</v>
      </c>
      <c r="AA122" s="1">
        <f t="shared" si="154"/>
        <v>0</v>
      </c>
      <c r="AB122" s="1">
        <f t="shared" si="154"/>
        <v>0</v>
      </c>
      <c r="AC122" s="1">
        <f t="shared" si="154"/>
        <v>0</v>
      </c>
      <c r="AD122" s="1">
        <f t="shared" si="154"/>
        <v>0</v>
      </c>
      <c r="AE122" s="1">
        <f t="shared" si="154"/>
        <v>0</v>
      </c>
      <c r="AF122" s="1">
        <f t="shared" si="154"/>
        <v>0</v>
      </c>
      <c r="AG122" s="1">
        <f t="shared" si="154"/>
        <v>0</v>
      </c>
      <c r="AH122" s="1">
        <f t="shared" si="154"/>
        <v>0</v>
      </c>
      <c r="AI122" s="1">
        <f t="shared" si="154"/>
        <v>0</v>
      </c>
      <c r="AJ122" s="1">
        <f t="shared" si="154"/>
        <v>0</v>
      </c>
      <c r="AK122" s="1">
        <f t="shared" si="154"/>
        <v>0</v>
      </c>
      <c r="AL122" s="1">
        <f t="shared" si="154"/>
        <v>0</v>
      </c>
      <c r="AM122" s="1">
        <f t="shared" si="154"/>
        <v>0</v>
      </c>
      <c r="AN122" s="1">
        <f t="shared" si="154"/>
        <v>0</v>
      </c>
      <c r="AO122" s="1">
        <f t="shared" si="154"/>
        <v>0</v>
      </c>
      <c r="AP122" s="1">
        <f t="shared" si="154"/>
        <v>0</v>
      </c>
      <c r="AQ122" s="72">
        <v>0</v>
      </c>
      <c r="AR122" s="72">
        <v>0</v>
      </c>
      <c r="AS122" s="72">
        <v>0</v>
      </c>
      <c r="AT122" s="72">
        <v>0</v>
      </c>
      <c r="AU122" s="72">
        <v>0</v>
      </c>
      <c r="AV122" s="72">
        <v>0</v>
      </c>
      <c r="AW122" s="72">
        <v>0</v>
      </c>
      <c r="AX122" s="72">
        <v>0</v>
      </c>
      <c r="AY122" s="72"/>
    </row>
    <row r="123" spans="1:51" ht="15.75" customHeight="1" x14ac:dyDescent="0.25">
      <c r="A123" s="71" t="s">
        <v>142</v>
      </c>
      <c r="B123" s="19"/>
      <c r="C123" s="1"/>
      <c r="D123" s="1"/>
      <c r="E123" s="1"/>
      <c r="F123" s="1"/>
      <c r="G123" s="1"/>
      <c r="H123" s="35"/>
      <c r="I123" s="35"/>
      <c r="J123" s="1">
        <f>I123*3</f>
        <v>0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72"/>
      <c r="AR123" s="72"/>
      <c r="AS123" s="72"/>
      <c r="AT123" s="72"/>
      <c r="AU123" s="72"/>
      <c r="AV123" s="72"/>
      <c r="AW123" s="72"/>
      <c r="AX123" s="72"/>
      <c r="AY123" s="72"/>
    </row>
    <row r="124" spans="1:51" ht="15.75" customHeight="1" x14ac:dyDescent="0.25">
      <c r="A124" s="71" t="s">
        <v>137</v>
      </c>
      <c r="B124" s="19"/>
      <c r="C124" s="1"/>
      <c r="D124" s="1"/>
      <c r="E124" s="1"/>
      <c r="F124" s="1"/>
      <c r="G124" s="1"/>
      <c r="H124" s="1">
        <v>0</v>
      </c>
      <c r="I124" s="1">
        <v>0</v>
      </c>
      <c r="J124" s="1">
        <f>I124*3</f>
        <v>0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72"/>
      <c r="AR124" s="72"/>
      <c r="AS124" s="72"/>
      <c r="AT124" s="72"/>
      <c r="AU124" s="72"/>
      <c r="AV124" s="72"/>
      <c r="AW124" s="72"/>
      <c r="AX124" s="72"/>
      <c r="AY124" s="72"/>
    </row>
    <row r="125" spans="1:51" ht="15.75" customHeight="1" x14ac:dyDescent="0.25">
      <c r="A125" s="71" t="s">
        <v>153</v>
      </c>
      <c r="B125" s="19"/>
      <c r="C125" s="1"/>
      <c r="D125" s="1"/>
      <c r="E125" s="1"/>
      <c r="F125" s="1"/>
      <c r="G125" s="1"/>
      <c r="H125" s="1">
        <v>150000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72"/>
      <c r="AR125" s="72"/>
      <c r="AS125" s="72"/>
      <c r="AT125" s="72"/>
      <c r="AU125" s="72"/>
      <c r="AV125" s="72"/>
      <c r="AW125" s="72"/>
      <c r="AX125" s="72"/>
      <c r="AY125" s="72"/>
    </row>
    <row r="126" spans="1:51" ht="15.75" customHeight="1" x14ac:dyDescent="0.25">
      <c r="A126" s="71"/>
      <c r="B126" s="19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72"/>
      <c r="AR126" s="72"/>
      <c r="AS126" s="72"/>
      <c r="AT126" s="72"/>
      <c r="AU126" s="72"/>
      <c r="AV126" s="72"/>
      <c r="AW126" s="72"/>
      <c r="AX126" s="72"/>
      <c r="AY126" s="72"/>
    </row>
    <row r="127" spans="1:51" ht="15.75" customHeight="1" x14ac:dyDescent="0.25">
      <c r="A127" s="71" t="s">
        <v>139</v>
      </c>
      <c r="B127" s="19"/>
      <c r="C127" s="4">
        <f>C75+C95</f>
        <v>0</v>
      </c>
      <c r="D127" s="4">
        <f>D75+D95</f>
        <v>0</v>
      </c>
      <c r="E127" s="4">
        <f>E75+E95</f>
        <v>0</v>
      </c>
      <c r="F127" s="37">
        <f>SUM(F101:F126)</f>
        <v>24500</v>
      </c>
      <c r="G127" s="37">
        <f>SUM(G105:G126)</f>
        <v>1500</v>
      </c>
      <c r="H127" s="37">
        <f t="shared" ref="H127:AH127" si="155">SUM(H105:H126)</f>
        <v>989001.47</v>
      </c>
      <c r="I127" s="37">
        <f t="shared" si="155"/>
        <v>1101295</v>
      </c>
      <c r="J127" s="37">
        <f t="shared" si="155"/>
        <v>293095.71000000002</v>
      </c>
      <c r="K127" s="37">
        <f t="shared" si="155"/>
        <v>54843.5</v>
      </c>
      <c r="L127" s="37">
        <f t="shared" si="155"/>
        <v>424071.32</v>
      </c>
      <c r="M127" s="37">
        <f t="shared" si="155"/>
        <v>536467.52</v>
      </c>
      <c r="N127" s="37">
        <f t="shared" si="155"/>
        <v>959584.25000000012</v>
      </c>
      <c r="O127" s="37">
        <f t="shared" si="155"/>
        <v>1177875.1599999999</v>
      </c>
      <c r="P127" s="37">
        <f t="shared" si="155"/>
        <v>91653.45</v>
      </c>
      <c r="Q127" s="37">
        <f t="shared" si="155"/>
        <v>125300</v>
      </c>
      <c r="R127" s="37">
        <f t="shared" si="155"/>
        <v>328072.59000000003</v>
      </c>
      <c r="S127" s="37">
        <f t="shared" si="155"/>
        <v>299602.40000000002</v>
      </c>
      <c r="T127" s="37">
        <f t="shared" si="155"/>
        <v>138845.91</v>
      </c>
      <c r="U127" s="37">
        <f t="shared" si="155"/>
        <v>371132.98</v>
      </c>
      <c r="V127" s="37">
        <f t="shared" si="155"/>
        <v>189900.35499999998</v>
      </c>
      <c r="W127" s="37">
        <f t="shared" si="155"/>
        <v>247993.81949999998</v>
      </c>
      <c r="X127" s="37">
        <f t="shared" si="155"/>
        <v>206343.95</v>
      </c>
      <c r="Y127" s="37">
        <f t="shared" si="155"/>
        <v>136780.63</v>
      </c>
      <c r="Z127" s="37">
        <f t="shared" si="155"/>
        <v>113430.63</v>
      </c>
      <c r="AA127" s="37">
        <f t="shared" si="155"/>
        <v>54561.63</v>
      </c>
      <c r="AB127" s="37">
        <f t="shared" si="155"/>
        <v>168135.03</v>
      </c>
      <c r="AC127" s="37">
        <f t="shared" si="155"/>
        <v>132744.04440000001</v>
      </c>
      <c r="AD127" s="37">
        <f t="shared" si="155"/>
        <v>121899.04139999999</v>
      </c>
      <c r="AE127" s="37">
        <f t="shared" si="155"/>
        <v>289547.82</v>
      </c>
      <c r="AF127" s="37">
        <f t="shared" si="155"/>
        <v>175630.41</v>
      </c>
      <c r="AG127" s="37">
        <f t="shared" si="155"/>
        <v>57630.41</v>
      </c>
      <c r="AH127" s="37">
        <f t="shared" si="155"/>
        <v>87629.41</v>
      </c>
      <c r="AI127" s="37">
        <f>SUM(AI105:AI126)</f>
        <v>237291.41</v>
      </c>
      <c r="AJ127" s="37">
        <f>SUM(AJ105:AJ126)</f>
        <v>195997.17</v>
      </c>
      <c r="AK127" s="37">
        <f t="shared" ref="AK127" si="156">SUM(AK105:AK126)</f>
        <v>-171515.82</v>
      </c>
      <c r="AL127" s="37">
        <f>SUM(AL105:AL126)</f>
        <v>87958.52</v>
      </c>
      <c r="AM127" s="37">
        <f>SUM(AM105:AM126)</f>
        <v>109303.91</v>
      </c>
      <c r="AN127" s="37">
        <f>SUM(AN105:AN126)</f>
        <v>89494.66</v>
      </c>
      <c r="AO127" s="37">
        <f>SUM(AO105:AO126)</f>
        <v>263655.54000000004</v>
      </c>
      <c r="AP127" s="37">
        <f t="shared" ref="AP127:AQ127" si="157">SUM(AP105:AP126)</f>
        <v>94590.74</v>
      </c>
      <c r="AQ127" s="77">
        <f t="shared" si="157"/>
        <v>49584.74</v>
      </c>
      <c r="AR127" s="77">
        <f t="shared" ref="AR127:AS127" si="158">SUM(AR105:AR126)</f>
        <v>43780.41</v>
      </c>
      <c r="AS127" s="77">
        <f t="shared" si="158"/>
        <v>91980.41</v>
      </c>
      <c r="AT127" s="77">
        <f t="shared" ref="AT127:AV127" si="159">SUM(AT105:AT126)</f>
        <v>126280.41</v>
      </c>
      <c r="AU127" s="77">
        <f t="shared" si="159"/>
        <v>138780.41</v>
      </c>
      <c r="AV127" s="77">
        <f t="shared" si="159"/>
        <v>126280.41</v>
      </c>
      <c r="AW127" s="77">
        <f t="shared" ref="AW127" si="160">SUM(AW105:AW126)</f>
        <v>126280.41</v>
      </c>
      <c r="AX127" s="77">
        <f t="shared" ref="AX127" si="161">SUM(AX105:AX126)</f>
        <v>126280.41</v>
      </c>
      <c r="AY127" s="77"/>
    </row>
    <row r="128" spans="1:51" ht="15.75" customHeight="1" x14ac:dyDescent="0.25">
      <c r="A128" s="71" t="s">
        <v>1</v>
      </c>
      <c r="B128" s="19"/>
      <c r="C128" s="1" t="s">
        <v>1</v>
      </c>
      <c r="D128" s="1" t="s">
        <v>1</v>
      </c>
      <c r="E128" s="1" t="s">
        <v>1</v>
      </c>
      <c r="F128" s="1" t="s">
        <v>1</v>
      </c>
      <c r="G128" s="1" t="s">
        <v>1</v>
      </c>
      <c r="H128" s="1" t="s">
        <v>1</v>
      </c>
      <c r="I128" s="1" t="s">
        <v>1</v>
      </c>
      <c r="J128" s="1" t="s">
        <v>1</v>
      </c>
      <c r="K128" s="1" t="s">
        <v>1</v>
      </c>
      <c r="L128" s="1" t="s">
        <v>1</v>
      </c>
      <c r="M128" s="1" t="s">
        <v>1</v>
      </c>
      <c r="N128" s="1" t="s">
        <v>1</v>
      </c>
      <c r="O128" s="1" t="s">
        <v>1</v>
      </c>
      <c r="P128" s="1" t="s">
        <v>1</v>
      </c>
      <c r="Q128" s="1" t="s">
        <v>1</v>
      </c>
      <c r="R128" s="1" t="s">
        <v>1</v>
      </c>
      <c r="S128" s="1" t="s">
        <v>1</v>
      </c>
      <c r="T128" s="1" t="s">
        <v>1</v>
      </c>
      <c r="U128" s="1" t="s">
        <v>1</v>
      </c>
      <c r="V128" s="1" t="s">
        <v>1</v>
      </c>
      <c r="W128" s="1" t="s">
        <v>1</v>
      </c>
      <c r="X128" s="1" t="s">
        <v>1</v>
      </c>
      <c r="Y128" s="1" t="s">
        <v>1</v>
      </c>
      <c r="Z128" s="1" t="s">
        <v>1</v>
      </c>
      <c r="AA128" s="1" t="s">
        <v>1</v>
      </c>
      <c r="AB128" s="1" t="s">
        <v>1</v>
      </c>
      <c r="AC128" s="1" t="s">
        <v>1</v>
      </c>
      <c r="AD128" s="1" t="s">
        <v>1</v>
      </c>
      <c r="AE128" s="1" t="s">
        <v>1</v>
      </c>
      <c r="AF128" s="1" t="s">
        <v>1</v>
      </c>
      <c r="AG128" s="1" t="s">
        <v>1</v>
      </c>
      <c r="AH128" s="1" t="s">
        <v>1</v>
      </c>
      <c r="AI128" s="1" t="s">
        <v>1</v>
      </c>
      <c r="AJ128" s="1" t="s">
        <v>1</v>
      </c>
      <c r="AK128" s="1" t="s">
        <v>1</v>
      </c>
      <c r="AL128" s="1" t="s">
        <v>1</v>
      </c>
      <c r="AM128" s="1" t="s">
        <v>1</v>
      </c>
      <c r="AN128" s="1" t="s">
        <v>1</v>
      </c>
      <c r="AO128" s="1" t="s">
        <v>1</v>
      </c>
      <c r="AP128" s="1" t="s">
        <v>1</v>
      </c>
      <c r="AQ128" s="72" t="s">
        <v>1</v>
      </c>
      <c r="AR128" s="72" t="s">
        <v>1</v>
      </c>
      <c r="AS128" s="72" t="s">
        <v>1</v>
      </c>
      <c r="AT128" s="72" t="s">
        <v>1</v>
      </c>
      <c r="AU128" s="72" t="s">
        <v>1</v>
      </c>
      <c r="AV128" s="72" t="s">
        <v>1</v>
      </c>
      <c r="AW128" s="72" t="s">
        <v>1</v>
      </c>
      <c r="AX128" s="72" t="s">
        <v>1</v>
      </c>
      <c r="AY128" s="72"/>
    </row>
    <row r="129" spans="1:51" ht="15.75" customHeight="1" x14ac:dyDescent="0.25">
      <c r="A129" s="71" t="s">
        <v>102</v>
      </c>
      <c r="B129" s="19"/>
      <c r="C129" s="1"/>
      <c r="D129" s="1"/>
      <c r="E129" s="1"/>
      <c r="F129" s="1"/>
      <c r="G129" s="49">
        <f>G127+G96</f>
        <v>122447.83</v>
      </c>
      <c r="H129" s="49">
        <f>H127+H96</f>
        <v>1090180.58</v>
      </c>
      <c r="I129" s="49">
        <f>I127+I96</f>
        <v>1203474.1100000001</v>
      </c>
      <c r="J129" s="49">
        <f>J127+J96</f>
        <v>395574.82</v>
      </c>
      <c r="K129" s="49">
        <f t="shared" ref="K129:AB129" si="162">K127+K97</f>
        <v>76474.233000000007</v>
      </c>
      <c r="L129" s="49">
        <f t="shared" si="162"/>
        <v>458164.74366600002</v>
      </c>
      <c r="M129" s="49">
        <f t="shared" si="162"/>
        <v>578559.16399999999</v>
      </c>
      <c r="N129" s="49">
        <f t="shared" si="162"/>
        <v>1001675.8940000001</v>
      </c>
      <c r="O129" s="49">
        <f t="shared" si="162"/>
        <v>1215778.2594999999</v>
      </c>
      <c r="P129" s="49">
        <f t="shared" si="162"/>
        <v>130806.82949999999</v>
      </c>
      <c r="Q129" s="49">
        <f t="shared" si="162"/>
        <v>170434.65349999999</v>
      </c>
      <c r="R129" s="49">
        <f t="shared" si="162"/>
        <v>369341.7795</v>
      </c>
      <c r="S129" s="49">
        <f t="shared" si="162"/>
        <v>341196.30950000003</v>
      </c>
      <c r="T129" s="49">
        <f t="shared" si="162"/>
        <v>180214.81949999998</v>
      </c>
      <c r="U129" s="49">
        <f t="shared" si="162"/>
        <v>455585.98</v>
      </c>
      <c r="V129" s="49">
        <f t="shared" si="162"/>
        <v>242940.56</v>
      </c>
      <c r="W129" s="49">
        <f t="shared" si="162"/>
        <v>291207.00899999996</v>
      </c>
      <c r="X129" s="49">
        <f t="shared" si="162"/>
        <v>206343.95</v>
      </c>
      <c r="Y129" s="49">
        <f t="shared" si="162"/>
        <v>136780.63</v>
      </c>
      <c r="Z129" s="49">
        <f t="shared" si="162"/>
        <v>113430.63</v>
      </c>
      <c r="AA129" s="49">
        <f t="shared" si="162"/>
        <v>54561.63</v>
      </c>
      <c r="AB129" s="49">
        <f t="shared" si="162"/>
        <v>168135.03</v>
      </c>
      <c r="AC129" s="49">
        <f>AC127+AC98</f>
        <v>167805.09000000003</v>
      </c>
      <c r="AD129" s="49">
        <f t="shared" ref="AD129:AH129" si="163">AD127+AD98</f>
        <v>158529.26999999999</v>
      </c>
      <c r="AE129" s="49">
        <f t="shared" si="163"/>
        <v>326266.24859999999</v>
      </c>
      <c r="AF129" s="49">
        <f t="shared" si="163"/>
        <v>252337.1488</v>
      </c>
      <c r="AG129" s="49">
        <f t="shared" si="163"/>
        <v>103494.6318</v>
      </c>
      <c r="AH129" s="49">
        <f t="shared" si="163"/>
        <v>135967.72839999999</v>
      </c>
      <c r="AI129" s="49">
        <f>AI127+AI98</f>
        <v>279389.72840000002</v>
      </c>
      <c r="AJ129" s="49">
        <f t="shared" ref="AJ129:AK129" si="164">AJ127+AJ98</f>
        <v>239849.58500000002</v>
      </c>
      <c r="AK129" s="49">
        <f t="shared" si="164"/>
        <v>-108928.93000000001</v>
      </c>
      <c r="AL129" s="49">
        <f>AL127+AL98</f>
        <v>131810.935</v>
      </c>
      <c r="AM129" s="49">
        <f>AM127+AM98</f>
        <v>184408.17800000001</v>
      </c>
      <c r="AN129" s="49">
        <f>AN127+AN98</f>
        <v>167494.66</v>
      </c>
      <c r="AO129" s="49">
        <f>AO127+AO98</f>
        <v>341655.54000000004</v>
      </c>
      <c r="AP129" s="49">
        <f t="shared" ref="AP129:AQ129" si="165">AP127+AP98</f>
        <v>172590.74</v>
      </c>
      <c r="AQ129" s="84">
        <f t="shared" si="165"/>
        <v>127584.73999999999</v>
      </c>
      <c r="AR129" s="84">
        <f t="shared" ref="AR129:AS129" si="166">AR127+AR98</f>
        <v>121780.41</v>
      </c>
      <c r="AS129" s="84">
        <f t="shared" si="166"/>
        <v>169980.41</v>
      </c>
      <c r="AT129" s="84">
        <f t="shared" ref="AT129:AV129" si="167">AT127+AT98</f>
        <v>204280.41</v>
      </c>
      <c r="AU129" s="84">
        <f t="shared" si="167"/>
        <v>216780.41</v>
      </c>
      <c r="AV129" s="84">
        <f t="shared" si="167"/>
        <v>204280.41</v>
      </c>
      <c r="AW129" s="84">
        <f t="shared" ref="AW129" si="168">AW127+AW98</f>
        <v>204280.41</v>
      </c>
      <c r="AX129" s="84">
        <f t="shared" ref="AX129" si="169">AX127+AX98</f>
        <v>204280.41</v>
      </c>
      <c r="AY129" s="84"/>
    </row>
    <row r="130" spans="1:51" ht="15.75" customHeight="1" x14ac:dyDescent="0.25">
      <c r="A130" s="71"/>
      <c r="B130" s="19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72"/>
      <c r="AR130" s="72"/>
      <c r="AS130" s="72"/>
      <c r="AT130" s="72"/>
      <c r="AU130" s="72"/>
      <c r="AV130" s="72"/>
      <c r="AW130" s="72"/>
      <c r="AX130" s="72"/>
      <c r="AY130" s="72"/>
    </row>
    <row r="131" spans="1:51" ht="15.75" customHeight="1" thickBot="1" x14ac:dyDescent="0.3">
      <c r="A131" s="71" t="s">
        <v>64</v>
      </c>
      <c r="B131" s="19"/>
      <c r="C131" s="1">
        <f>C44-C127</f>
        <v>0</v>
      </c>
      <c r="D131" s="1">
        <f>D44-D127</f>
        <v>0</v>
      </c>
      <c r="E131" s="1">
        <f>E44-E127</f>
        <v>0</v>
      </c>
      <c r="F131" s="1">
        <f>F44-F127</f>
        <v>-24500</v>
      </c>
      <c r="G131" s="51" t="e">
        <f t="shared" ref="G131:AB131" si="170">G67-G129</f>
        <v>#REF!</v>
      </c>
      <c r="H131" s="51" t="e">
        <f t="shared" si="170"/>
        <v>#REF!</v>
      </c>
      <c r="I131" s="51" t="e">
        <f t="shared" si="170"/>
        <v>#REF!</v>
      </c>
      <c r="J131" s="51" t="e">
        <f t="shared" si="170"/>
        <v>#REF!</v>
      </c>
      <c r="K131" s="51" t="e">
        <f t="shared" si="170"/>
        <v>#REF!</v>
      </c>
      <c r="L131" s="51" t="e">
        <f t="shared" si="170"/>
        <v>#REF!</v>
      </c>
      <c r="M131" s="51" t="e">
        <f t="shared" si="170"/>
        <v>#REF!</v>
      </c>
      <c r="N131" s="51">
        <f t="shared" si="170"/>
        <v>6611967.7060000002</v>
      </c>
      <c r="O131" s="51">
        <f t="shared" si="170"/>
        <v>5318878.1910000006</v>
      </c>
      <c r="P131" s="51" t="e">
        <f t="shared" si="170"/>
        <v>#REF!</v>
      </c>
      <c r="Q131" s="51" t="e">
        <f t="shared" si="170"/>
        <v>#REF!</v>
      </c>
      <c r="R131" s="51" t="e">
        <f t="shared" si="170"/>
        <v>#REF!</v>
      </c>
      <c r="S131" s="51" t="e">
        <f t="shared" si="170"/>
        <v>#REF!</v>
      </c>
      <c r="T131" s="51" t="e">
        <f t="shared" si="170"/>
        <v>#REF!</v>
      </c>
      <c r="U131" s="51" t="e">
        <f t="shared" si="170"/>
        <v>#REF!</v>
      </c>
      <c r="V131" s="51" t="e">
        <f t="shared" si="170"/>
        <v>#REF!</v>
      </c>
      <c r="W131" s="51" t="e">
        <f t="shared" si="170"/>
        <v>#REF!</v>
      </c>
      <c r="X131" s="51" t="e">
        <f t="shared" si="170"/>
        <v>#REF!</v>
      </c>
      <c r="Y131" s="51" t="e">
        <f t="shared" si="170"/>
        <v>#REF!</v>
      </c>
      <c r="Z131" s="51" t="e">
        <f t="shared" si="170"/>
        <v>#REF!</v>
      </c>
      <c r="AA131" s="51" t="e">
        <f t="shared" si="170"/>
        <v>#REF!</v>
      </c>
      <c r="AB131" s="51" t="e">
        <f t="shared" si="170"/>
        <v>#REF!</v>
      </c>
      <c r="AC131" s="51">
        <f>AC67-AC129</f>
        <v>5836693.1553000007</v>
      </c>
      <c r="AD131" s="51">
        <f t="shared" ref="AD131:AK131" si="171">AD67-AD129</f>
        <v>5886703.2044000002</v>
      </c>
      <c r="AE131" s="51">
        <f t="shared" si="171"/>
        <v>5705225.5863618292</v>
      </c>
      <c r="AF131" s="51">
        <f t="shared" si="171"/>
        <v>5694617.0735737961</v>
      </c>
      <c r="AG131" s="51">
        <f t="shared" si="171"/>
        <v>6288554.0540081486</v>
      </c>
      <c r="AH131" s="51">
        <f t="shared" si="171"/>
        <v>5898300.7270904211</v>
      </c>
      <c r="AI131" s="51">
        <f t="shared" si="171"/>
        <v>6289712.4625021322</v>
      </c>
      <c r="AJ131" s="51">
        <f t="shared" si="171"/>
        <v>5738805.4993707454</v>
      </c>
      <c r="AK131" s="51">
        <f t="shared" si="171"/>
        <v>7476928.3799999999</v>
      </c>
      <c r="AL131" s="51">
        <f>AL67-AL129</f>
        <v>7287545.4907204695</v>
      </c>
      <c r="AM131" s="51">
        <f>AM67-AM129</f>
        <v>7409401.5018535499</v>
      </c>
      <c r="AN131" s="51">
        <f>AN67-AN129</f>
        <v>7266628.9170525651</v>
      </c>
      <c r="AO131" s="51">
        <f>AO67-AO129</f>
        <v>7737238.2023807373</v>
      </c>
      <c r="AP131" s="51">
        <f t="shared" ref="AP131:AQ131" si="172">AP67-AP129</f>
        <v>7749994.4105375344</v>
      </c>
      <c r="AQ131" s="86">
        <f t="shared" si="172"/>
        <v>8064626.6701837089</v>
      </c>
      <c r="AR131" s="86">
        <f t="shared" ref="AR131:AS131" si="173">AR67-AR129</f>
        <v>7865107.4999999991</v>
      </c>
      <c r="AS131" s="86">
        <f t="shared" si="173"/>
        <v>7796298.9708571676</v>
      </c>
      <c r="AT131" s="86">
        <f t="shared" ref="AT131:AV131" si="174">AT67-AT129</f>
        <v>7797009.5423091948</v>
      </c>
      <c r="AU131" s="86">
        <f t="shared" si="174"/>
        <v>7708871.7078510122</v>
      </c>
      <c r="AV131" s="86">
        <f t="shared" si="174"/>
        <v>7736738.9830771349</v>
      </c>
      <c r="AW131" s="86">
        <f t="shared" ref="AW131" si="175">AW67-AW129</f>
        <v>7740597.4890293395</v>
      </c>
      <c r="AX131" s="86">
        <f t="shared" ref="AX131" si="176">AX67-AX129</f>
        <v>7746992.7357465746</v>
      </c>
      <c r="AY131" s="86"/>
    </row>
    <row r="132" spans="1:51" ht="15.75" customHeight="1" thickTop="1" x14ac:dyDescent="0.25">
      <c r="AY132" s="82"/>
    </row>
    <row r="133" spans="1:51" ht="15.75" customHeight="1" x14ac:dyDescent="0.25">
      <c r="A133" s="71" t="s">
        <v>227</v>
      </c>
      <c r="AY133" s="82"/>
    </row>
    <row r="134" spans="1:51" ht="15.75" customHeight="1" x14ac:dyDescent="0.25">
      <c r="M134">
        <f>108422</f>
        <v>108422</v>
      </c>
      <c r="AC134" s="1">
        <f>AC65-AC129</f>
        <v>-22487.624700000044</v>
      </c>
      <c r="AD134" s="1">
        <f t="shared" ref="AD134:AK134" si="177">AD65-AD129</f>
        <v>-22645.565599999973</v>
      </c>
      <c r="AE134" s="1">
        <f t="shared" si="177"/>
        <v>-188164.01363816948</v>
      </c>
      <c r="AF134" s="1">
        <f t="shared" si="177"/>
        <v>-92026.766426204733</v>
      </c>
      <c r="AG134" s="1">
        <f>AG65-AG129</f>
        <v>656487.87400814646</v>
      </c>
      <c r="AH134" s="1">
        <f t="shared" si="177"/>
        <v>651170.98709041986</v>
      </c>
      <c r="AI134" s="1">
        <f t="shared" si="177"/>
        <v>-122266.49749786532</v>
      </c>
      <c r="AJ134" s="1">
        <f t="shared" si="177"/>
        <v>192610.80937074468</v>
      </c>
      <c r="AK134" s="1">
        <f t="shared" si="177"/>
        <v>663427.38000000024</v>
      </c>
      <c r="AL134" s="1">
        <f>AL65-AL129</f>
        <v>42030.344053803099</v>
      </c>
      <c r="AM134" s="1">
        <f>AM65-AM129</f>
        <v>99236.651853549527</v>
      </c>
      <c r="AN134" s="1">
        <f>AN65-AN129</f>
        <v>95705.577052563691</v>
      </c>
      <c r="AO134" s="1">
        <f>AO65-AO129</f>
        <v>-133043.5776192623</v>
      </c>
      <c r="AP134" s="1">
        <f t="shared" ref="AP134:AQ134" si="178">AP65-AP129</f>
        <v>174972.04220420157</v>
      </c>
      <c r="AQ134" s="72">
        <f t="shared" si="178"/>
        <v>182427.67018371023</v>
      </c>
      <c r="AR134" s="72">
        <f t="shared" ref="AR134:AS134" si="179">AR65-AR129</f>
        <v>53312.899999999994</v>
      </c>
      <c r="AS134" s="72">
        <f t="shared" si="179"/>
        <v>80182.156412724085</v>
      </c>
      <c r="AT134" s="72">
        <f t="shared" ref="AT134:AV134" si="180">AT65-AT129</f>
        <v>43002.707494380913</v>
      </c>
      <c r="AU134" s="72">
        <f t="shared" si="180"/>
        <v>-19401.175235406321</v>
      </c>
      <c r="AV134" s="72">
        <f t="shared" si="180"/>
        <v>13203.005628576764</v>
      </c>
      <c r="AW134" s="72">
        <f t="shared" ref="AW134" si="181">AW65-AW129</f>
        <v>-6681.8760872578714</v>
      </c>
      <c r="AX134" s="72">
        <f t="shared" ref="AX134" si="182">AX65-AX129</f>
        <v>13418.860529383557</v>
      </c>
      <c r="AY134" s="72"/>
    </row>
    <row r="135" spans="1:51" ht="15.75" customHeight="1" x14ac:dyDescent="0.25">
      <c r="B135" s="19"/>
      <c r="AY135" s="82"/>
    </row>
    <row r="136" spans="1:51" ht="15.75" customHeight="1" x14ac:dyDescent="0.25">
      <c r="A136" s="71" t="s">
        <v>182</v>
      </c>
      <c r="B136" s="19"/>
      <c r="W136">
        <v>547</v>
      </c>
      <c r="X136" s="59">
        <f t="shared" ref="X136:AJ136" si="183">W136+X101</f>
        <v>560</v>
      </c>
      <c r="Y136" s="59">
        <f t="shared" si="183"/>
        <v>577</v>
      </c>
      <c r="Z136" s="59">
        <f>576+Z101</f>
        <v>589</v>
      </c>
      <c r="AA136" s="59">
        <f>595+AA101</f>
        <v>610</v>
      </c>
      <c r="AB136" s="59">
        <v>610</v>
      </c>
      <c r="AC136" s="59">
        <f t="shared" si="183"/>
        <v>616</v>
      </c>
      <c r="AD136" s="59">
        <f t="shared" si="183"/>
        <v>619</v>
      </c>
      <c r="AE136" s="59">
        <f t="shared" si="183"/>
        <v>620</v>
      </c>
      <c r="AF136" s="59">
        <f t="shared" si="183"/>
        <v>623</v>
      </c>
      <c r="AG136" s="59">
        <f t="shared" si="183"/>
        <v>629</v>
      </c>
      <c r="AH136" s="59">
        <f t="shared" si="183"/>
        <v>630</v>
      </c>
      <c r="AI136" s="59">
        <f>628+AI101</f>
        <v>634</v>
      </c>
      <c r="AJ136" s="59">
        <f t="shared" si="183"/>
        <v>638</v>
      </c>
      <c r="AK136" s="59">
        <f>AJ136+AK101</f>
        <v>640</v>
      </c>
      <c r="AL136" s="59">
        <f>AK136+AL101</f>
        <v>641</v>
      </c>
      <c r="AM136" s="59">
        <f>AL136+AM101</f>
        <v>642</v>
      </c>
      <c r="AN136" s="59">
        <v>643</v>
      </c>
      <c r="AO136" s="59">
        <v>646</v>
      </c>
      <c r="AP136" s="59">
        <f t="shared" ref="AP136:AX136" si="184">AO136+AP101</f>
        <v>647</v>
      </c>
      <c r="AQ136" s="85">
        <f t="shared" si="184"/>
        <v>647</v>
      </c>
      <c r="AR136" s="85">
        <f t="shared" si="184"/>
        <v>647</v>
      </c>
      <c r="AS136" s="85">
        <f t="shared" si="184"/>
        <v>647</v>
      </c>
      <c r="AT136" s="85">
        <f t="shared" si="184"/>
        <v>647</v>
      </c>
      <c r="AU136" s="85">
        <f t="shared" si="184"/>
        <v>647</v>
      </c>
      <c r="AV136" s="85">
        <f t="shared" si="184"/>
        <v>647</v>
      </c>
      <c r="AW136" s="85">
        <f t="shared" si="184"/>
        <v>647</v>
      </c>
      <c r="AX136" s="85">
        <f t="shared" si="184"/>
        <v>647</v>
      </c>
      <c r="AY136" s="85"/>
    </row>
    <row r="137" spans="1:51" ht="15.75" customHeight="1" x14ac:dyDescent="0.25">
      <c r="A137" s="71" t="s">
        <v>184</v>
      </c>
      <c r="B137" s="19"/>
      <c r="W137">
        <v>82</v>
      </c>
      <c r="X137" s="59">
        <f t="shared" ref="X137:AI137" si="185">W137-X101</f>
        <v>69</v>
      </c>
      <c r="Y137" s="59">
        <f t="shared" si="185"/>
        <v>52</v>
      </c>
      <c r="Z137" s="59">
        <f t="shared" si="185"/>
        <v>39</v>
      </c>
      <c r="AA137" s="59">
        <f t="shared" si="185"/>
        <v>24</v>
      </c>
      <c r="AB137" s="59">
        <f>35</f>
        <v>35</v>
      </c>
      <c r="AC137" s="59">
        <f t="shared" si="185"/>
        <v>29</v>
      </c>
      <c r="AD137" s="59">
        <f t="shared" si="185"/>
        <v>26</v>
      </c>
      <c r="AE137" s="59">
        <f t="shared" si="185"/>
        <v>25</v>
      </c>
      <c r="AF137" s="59">
        <f t="shared" si="185"/>
        <v>22</v>
      </c>
      <c r="AG137" s="59">
        <f t="shared" si="185"/>
        <v>16</v>
      </c>
      <c r="AH137" s="59">
        <f t="shared" si="185"/>
        <v>15</v>
      </c>
      <c r="AI137" s="59">
        <f t="shared" si="185"/>
        <v>9</v>
      </c>
      <c r="AJ137" s="59">
        <v>12</v>
      </c>
      <c r="AK137" s="59">
        <v>6</v>
      </c>
      <c r="AL137" s="59">
        <f t="shared" ref="AL137:AX137" si="186">AK137-AL101</f>
        <v>5</v>
      </c>
      <c r="AM137" s="59">
        <f t="shared" si="186"/>
        <v>4</v>
      </c>
      <c r="AN137" s="59">
        <v>4</v>
      </c>
      <c r="AO137" s="59">
        <v>1</v>
      </c>
      <c r="AP137" s="59">
        <f t="shared" si="186"/>
        <v>0</v>
      </c>
      <c r="AQ137" s="85">
        <f t="shared" si="186"/>
        <v>0</v>
      </c>
      <c r="AR137" s="85">
        <f t="shared" si="186"/>
        <v>0</v>
      </c>
      <c r="AS137" s="85">
        <f t="shared" si="186"/>
        <v>0</v>
      </c>
      <c r="AT137" s="85">
        <f t="shared" si="186"/>
        <v>0</v>
      </c>
      <c r="AU137" s="85">
        <f t="shared" si="186"/>
        <v>0</v>
      </c>
      <c r="AV137" s="85">
        <f t="shared" si="186"/>
        <v>0</v>
      </c>
      <c r="AW137" s="85">
        <f t="shared" si="186"/>
        <v>0</v>
      </c>
      <c r="AX137" s="85">
        <f t="shared" si="186"/>
        <v>0</v>
      </c>
      <c r="AY137" s="85"/>
    </row>
    <row r="138" spans="1:51" ht="15.75" customHeight="1" x14ac:dyDescent="0.25">
      <c r="A138" s="61" t="s">
        <v>213</v>
      </c>
      <c r="B138" s="19"/>
      <c r="C138" s="1"/>
      <c r="D138" s="1"/>
      <c r="E138" s="1"/>
      <c r="F138" s="1"/>
      <c r="G138" s="1"/>
      <c r="H138" s="1"/>
      <c r="I138" s="1"/>
      <c r="J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>
        <f>187904</f>
        <v>187904</v>
      </c>
      <c r="AF138" s="1">
        <v>0</v>
      </c>
      <c r="AG138" s="1">
        <v>0</v>
      </c>
      <c r="AH138" s="1">
        <v>30000</v>
      </c>
      <c r="AI138" s="1">
        <v>185000</v>
      </c>
      <c r="AJ138" s="1">
        <v>79000</v>
      </c>
      <c r="AK138" s="80">
        <v>0</v>
      </c>
      <c r="AL138" s="80">
        <v>50000</v>
      </c>
      <c r="AM138" s="80">
        <v>0</v>
      </c>
      <c r="AN138" s="80">
        <f t="shared" ref="AN138:AP138" si="187">50000*AN139</f>
        <v>0</v>
      </c>
      <c r="AO138" s="80">
        <v>0</v>
      </c>
      <c r="AP138" s="80">
        <f t="shared" si="187"/>
        <v>0</v>
      </c>
      <c r="AQ138" s="80">
        <f>50000*AQ139*0.5</f>
        <v>0</v>
      </c>
      <c r="AR138" s="80">
        <v>0</v>
      </c>
      <c r="AS138" s="80">
        <v>37500</v>
      </c>
      <c r="AT138" s="80">
        <v>25000</v>
      </c>
      <c r="AU138" s="80">
        <v>25000</v>
      </c>
      <c r="AV138" s="80">
        <v>25000</v>
      </c>
      <c r="AW138" s="80">
        <v>25000</v>
      </c>
      <c r="AX138" s="80">
        <v>25000</v>
      </c>
      <c r="AY138" s="80"/>
    </row>
    <row r="139" spans="1:51" ht="15.75" customHeight="1" x14ac:dyDescent="0.25">
      <c r="A139" s="61" t="s">
        <v>220</v>
      </c>
      <c r="B139" s="19"/>
      <c r="C139" s="1"/>
      <c r="D139" s="1"/>
      <c r="E139" s="1"/>
      <c r="F139" s="1"/>
      <c r="G139" s="1"/>
      <c r="H139" s="1"/>
      <c r="I139" s="1"/>
      <c r="J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80">
        <v>0</v>
      </c>
      <c r="AL139" s="59">
        <v>1</v>
      </c>
      <c r="AM139" s="59">
        <v>0</v>
      </c>
      <c r="AN139" s="59">
        <v>0</v>
      </c>
      <c r="AO139" s="59">
        <v>0</v>
      </c>
      <c r="AP139" s="59">
        <v>0</v>
      </c>
      <c r="AQ139" s="85">
        <v>0</v>
      </c>
      <c r="AR139" s="85">
        <v>0</v>
      </c>
      <c r="AS139" s="85">
        <v>2</v>
      </c>
      <c r="AT139" s="85">
        <v>1</v>
      </c>
      <c r="AU139" s="85">
        <v>1</v>
      </c>
      <c r="AV139" s="85">
        <v>1</v>
      </c>
      <c r="AW139" s="85">
        <v>1</v>
      </c>
      <c r="AX139" s="85">
        <v>1</v>
      </c>
      <c r="AY139" s="85"/>
    </row>
    <row r="140" spans="1:51" ht="15.75" customHeight="1" x14ac:dyDescent="0.25">
      <c r="A140" s="71" t="s">
        <v>218</v>
      </c>
      <c r="B140" s="19"/>
      <c r="AK140" s="80">
        <f>15000*AK141</f>
        <v>0</v>
      </c>
      <c r="AL140" s="80">
        <f t="shared" ref="AL140" si="188">15000*AL141</f>
        <v>0</v>
      </c>
      <c r="AM140" s="80">
        <v>0</v>
      </c>
      <c r="AN140" s="80">
        <v>0</v>
      </c>
      <c r="AO140" s="80">
        <v>9076</v>
      </c>
      <c r="AP140" s="80">
        <v>0</v>
      </c>
      <c r="AQ140" s="72">
        <v>0</v>
      </c>
      <c r="AR140" s="72">
        <v>25000</v>
      </c>
      <c r="AS140" s="72">
        <v>25000</v>
      </c>
      <c r="AT140" s="72">
        <v>12500</v>
      </c>
      <c r="AU140" s="72">
        <v>25000</v>
      </c>
      <c r="AV140" s="72">
        <v>12500</v>
      </c>
      <c r="AW140" s="72">
        <v>12500</v>
      </c>
      <c r="AX140" s="72">
        <v>12500</v>
      </c>
      <c r="AY140" s="72"/>
    </row>
    <row r="141" spans="1:51" ht="15.75" customHeight="1" x14ac:dyDescent="0.25">
      <c r="A141" s="71" t="s">
        <v>221</v>
      </c>
      <c r="B141" s="19"/>
      <c r="AK141" s="80">
        <v>0</v>
      </c>
      <c r="AL141" s="59">
        <v>0</v>
      </c>
      <c r="AM141" s="59">
        <v>0</v>
      </c>
      <c r="AN141" s="59">
        <v>0</v>
      </c>
      <c r="AO141" s="59">
        <v>1</v>
      </c>
      <c r="AP141" s="59">
        <v>1</v>
      </c>
      <c r="AQ141" s="85">
        <v>0</v>
      </c>
      <c r="AR141" s="85">
        <v>1</v>
      </c>
      <c r="AS141" s="85">
        <v>1</v>
      </c>
      <c r="AT141" s="85">
        <v>1</v>
      </c>
      <c r="AU141" s="85">
        <v>2</v>
      </c>
      <c r="AV141" s="85">
        <v>1</v>
      </c>
      <c r="AW141" s="85">
        <v>1</v>
      </c>
      <c r="AX141" s="85">
        <v>1</v>
      </c>
      <c r="AY141" s="85"/>
    </row>
    <row r="142" spans="1:51" ht="15.75" customHeight="1" x14ac:dyDescent="0.25">
      <c r="A142" s="71" t="s">
        <v>219</v>
      </c>
      <c r="B142" s="19"/>
      <c r="AK142" s="80">
        <f>7500*AK143</f>
        <v>0</v>
      </c>
      <c r="AL142" s="80">
        <f t="shared" ref="AL142" si="189">7500*AL143</f>
        <v>0</v>
      </c>
      <c r="AM142" s="80">
        <v>0</v>
      </c>
      <c r="AN142" s="80">
        <v>0</v>
      </c>
      <c r="AO142" s="80">
        <v>0</v>
      </c>
      <c r="AP142" s="80">
        <v>0</v>
      </c>
      <c r="AQ142" s="72">
        <v>0</v>
      </c>
      <c r="AR142" s="72">
        <v>0</v>
      </c>
      <c r="AS142" s="72">
        <v>10700</v>
      </c>
      <c r="AT142" s="72">
        <v>25000</v>
      </c>
      <c r="AU142" s="72">
        <v>25000</v>
      </c>
      <c r="AV142" s="72">
        <v>25000</v>
      </c>
      <c r="AW142" s="72">
        <v>25000</v>
      </c>
      <c r="AX142" s="72">
        <v>25000</v>
      </c>
      <c r="AY142" s="72"/>
    </row>
    <row r="143" spans="1:51" ht="15.75" customHeight="1" x14ac:dyDescent="0.25">
      <c r="A143" s="71" t="s">
        <v>222</v>
      </c>
      <c r="B143" s="19"/>
      <c r="AK143" s="80">
        <v>0</v>
      </c>
      <c r="AL143" s="59">
        <v>0</v>
      </c>
      <c r="AM143" s="59">
        <v>0</v>
      </c>
      <c r="AN143" s="59">
        <v>0</v>
      </c>
      <c r="AO143" s="59">
        <v>0</v>
      </c>
      <c r="AP143" s="59">
        <v>0</v>
      </c>
      <c r="AQ143" s="85">
        <v>0</v>
      </c>
      <c r="AR143" s="85">
        <v>0</v>
      </c>
      <c r="AS143" s="85">
        <v>1</v>
      </c>
      <c r="AT143" s="85">
        <v>4</v>
      </c>
      <c r="AU143" s="85">
        <v>2</v>
      </c>
      <c r="AV143" s="85">
        <v>4</v>
      </c>
      <c r="AW143" s="85">
        <v>4</v>
      </c>
      <c r="AX143" s="85">
        <v>4</v>
      </c>
      <c r="AY143" s="85"/>
    </row>
    <row r="144" spans="1:51" ht="15.75" customHeight="1" x14ac:dyDescent="0.25">
      <c r="A144" s="71" t="s">
        <v>225</v>
      </c>
      <c r="B144" s="19"/>
      <c r="AL144" s="80">
        <v>0</v>
      </c>
      <c r="AM144" s="80">
        <v>0</v>
      </c>
      <c r="AN144" s="80">
        <v>0</v>
      </c>
      <c r="AO144" s="80">
        <v>0</v>
      </c>
      <c r="AP144" s="80">
        <v>0</v>
      </c>
      <c r="AQ144" s="72">
        <v>0</v>
      </c>
      <c r="AR144" s="72">
        <v>0</v>
      </c>
      <c r="AS144" s="72">
        <v>0</v>
      </c>
      <c r="AT144" s="72">
        <v>25000</v>
      </c>
      <c r="AU144" s="72">
        <v>25000</v>
      </c>
      <c r="AV144" s="72">
        <v>25000</v>
      </c>
      <c r="AW144" s="72">
        <v>25000</v>
      </c>
      <c r="AX144" s="72">
        <v>25000</v>
      </c>
      <c r="AY144" s="72"/>
    </row>
    <row r="145" spans="1:51" x14ac:dyDescent="0.25">
      <c r="A145" s="71" t="s">
        <v>226</v>
      </c>
      <c r="AK145">
        <v>0</v>
      </c>
      <c r="AL145" s="59">
        <v>0</v>
      </c>
      <c r="AM145" s="59">
        <v>0</v>
      </c>
      <c r="AN145" s="59">
        <v>0</v>
      </c>
      <c r="AO145" s="59">
        <v>0</v>
      </c>
      <c r="AP145" s="59">
        <v>0</v>
      </c>
      <c r="AQ145" s="85">
        <v>0</v>
      </c>
      <c r="AR145" s="85">
        <v>0</v>
      </c>
      <c r="AS145" s="85">
        <v>0</v>
      </c>
      <c r="AT145" s="85">
        <v>2</v>
      </c>
      <c r="AU145" s="85">
        <v>1</v>
      </c>
      <c r="AV145" s="85">
        <v>1</v>
      </c>
      <c r="AW145" s="85">
        <v>1</v>
      </c>
      <c r="AX145" s="85">
        <v>1</v>
      </c>
      <c r="AY145" s="85"/>
    </row>
    <row r="146" spans="1:51" x14ac:dyDescent="0.25"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85"/>
    </row>
  </sheetData>
  <pageMargins left="0.47" right="0.28999999999999998" top="0.6" bottom="0.36" header="0.2" footer="0.3"/>
  <pageSetup scale="60" orientation="portrait" r:id="rId1"/>
  <colBreaks count="1" manualBreakCount="1">
    <brk id="23" max="104857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69"/>
  <sheetViews>
    <sheetView workbookViewId="0">
      <pane xSplit="1" ySplit="17" topLeftCell="B18" activePane="bottomRight" state="frozen"/>
      <selection activeCell="A27" sqref="A27"/>
      <selection pane="topRight" activeCell="A27" sqref="A27"/>
      <selection pane="bottomLeft" activeCell="A27" sqref="A27"/>
      <selection pane="bottomRight" activeCell="A27" sqref="A27"/>
    </sheetView>
  </sheetViews>
  <sheetFormatPr defaultRowHeight="15" x14ac:dyDescent="0.25"/>
  <cols>
    <col min="1" max="1" width="26.42578125" customWidth="1"/>
    <col min="2" max="2" width="12.28515625" customWidth="1"/>
    <col min="3" max="3" width="14.140625" customWidth="1"/>
    <col min="4" max="4" width="14" customWidth="1"/>
    <col min="5" max="5" width="14.42578125" customWidth="1"/>
    <col min="6" max="14" width="10" bestFit="1" customWidth="1"/>
    <col min="15" max="15" width="11.5703125" hidden="1" customWidth="1"/>
    <col min="16" max="16" width="45.7109375" style="3" customWidth="1"/>
  </cols>
  <sheetData>
    <row r="2" spans="1:16" ht="15.75" x14ac:dyDescent="0.25">
      <c r="A2" s="8" t="s">
        <v>0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/>
    </row>
    <row r="3" spans="1:16" ht="15.75" x14ac:dyDescent="0.25">
      <c r="A3" s="8" t="str">
        <f>'Budget Summary'!A3</f>
        <v>2009 Operating Budget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6" ht="15.75" x14ac:dyDescent="0.25">
      <c r="A4" s="14" t="s">
        <v>88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</row>
    <row r="5" spans="1:16" ht="15.75" x14ac:dyDescent="0.25">
      <c r="A5" s="12"/>
      <c r="B5" s="6" t="s">
        <v>2</v>
      </c>
      <c r="C5" s="7">
        <f>'Budget Summary'!C5</f>
        <v>39814</v>
      </c>
      <c r="D5" s="7">
        <f>C5+31</f>
        <v>39845</v>
      </c>
      <c r="E5" s="7">
        <f t="shared" ref="E5:N5" si="0">D5+31</f>
        <v>39876</v>
      </c>
      <c r="F5" s="7">
        <f t="shared" si="0"/>
        <v>39907</v>
      </c>
      <c r="G5" s="7">
        <f t="shared" si="0"/>
        <v>39938</v>
      </c>
      <c r="H5" s="7">
        <f t="shared" si="0"/>
        <v>39969</v>
      </c>
      <c r="I5" s="7">
        <f t="shared" si="0"/>
        <v>40000</v>
      </c>
      <c r="J5" s="7">
        <f t="shared" si="0"/>
        <v>40031</v>
      </c>
      <c r="K5" s="7">
        <f t="shared" si="0"/>
        <v>40062</v>
      </c>
      <c r="L5" s="7">
        <f t="shared" si="0"/>
        <v>40093</v>
      </c>
      <c r="M5" s="7">
        <f t="shared" si="0"/>
        <v>40124</v>
      </c>
      <c r="N5" s="7">
        <f t="shared" si="0"/>
        <v>40155</v>
      </c>
      <c r="O5" s="13" t="s">
        <v>62</v>
      </c>
      <c r="P5" s="2" t="s">
        <v>3</v>
      </c>
    </row>
    <row r="6" spans="1:16" hidden="1" x14ac:dyDescent="0.25">
      <c r="A6" t="s">
        <v>80</v>
      </c>
    </row>
    <row r="7" spans="1:16" hidden="1" x14ac:dyDescent="0.25">
      <c r="A7" t="s">
        <v>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136950</v>
      </c>
    </row>
    <row r="8" spans="1:16" hidden="1" x14ac:dyDescent="0.25">
      <c r="A8" t="s">
        <v>5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126000</v>
      </c>
    </row>
    <row r="9" spans="1:16" hidden="1" x14ac:dyDescent="0.25">
      <c r="A9" t="s">
        <v>6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126000</v>
      </c>
    </row>
    <row r="10" spans="1:16" hidden="1" x14ac:dyDescent="0.25">
      <c r="A10" t="s">
        <v>7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</row>
    <row r="11" spans="1:16" hidden="1" x14ac:dyDescent="0.25">
      <c r="A11" t="s">
        <v>8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40000</v>
      </c>
    </row>
    <row r="12" spans="1:16" hidden="1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</row>
    <row r="13" spans="1:16" hidden="1" x14ac:dyDescent="0.25">
      <c r="A13" t="s">
        <v>10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55000.000000000007</v>
      </c>
    </row>
    <row r="14" spans="1:16" hidden="1" x14ac:dyDescent="0.25">
      <c r="A14" t="s">
        <v>11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6" hidden="1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6" hidden="1" x14ac:dyDescent="0.25">
      <c r="A16" t="s">
        <v>13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40000</v>
      </c>
    </row>
    <row r="17" spans="1:15" hidden="1" x14ac:dyDescent="0.25">
      <c r="A17" t="s">
        <v>14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</row>
    <row r="18" spans="1:15" ht="15.75" customHeight="1" x14ac:dyDescent="0.25">
      <c r="A18" t="s">
        <v>93</v>
      </c>
      <c r="O18" t="s">
        <v>1</v>
      </c>
    </row>
    <row r="19" spans="1:15" ht="15.75" customHeight="1" x14ac:dyDescent="0.25">
      <c r="A19" t="s">
        <v>98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5" ht="15.75" customHeight="1" x14ac:dyDescent="0.25">
      <c r="A20" t="s">
        <v>104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5" ht="15.75" customHeight="1" x14ac:dyDescent="0.25">
      <c r="A21" t="s">
        <v>116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5" ht="15.75" customHeight="1" x14ac:dyDescent="0.25">
      <c r="A22" t="s">
        <v>86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5" ht="15.75" customHeight="1" x14ac:dyDescent="0.25">
      <c r="A23" t="s">
        <v>87</v>
      </c>
      <c r="B23" s="1">
        <f>SUM(C23:N23)</f>
        <v>0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5" ht="15.75" customHeight="1" x14ac:dyDescent="0.25">
      <c r="A24" t="s">
        <v>88</v>
      </c>
      <c r="B24" s="1">
        <f>SUM(C24:N24)</f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</row>
    <row r="25" spans="1:15" ht="15.75" customHeight="1" x14ac:dyDescent="0.25">
      <c r="A25" t="s">
        <v>105</v>
      </c>
      <c r="B25" s="1">
        <f>SUM(C25:N25)</f>
        <v>0</v>
      </c>
      <c r="C25" s="16">
        <v>0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5" ht="15.75" customHeight="1" x14ac:dyDescent="0.25">
      <c r="A26" t="s">
        <v>106</v>
      </c>
      <c r="B26" s="1">
        <f>SUM(C26:N26)</f>
        <v>0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5" ht="15.75" customHeight="1" x14ac:dyDescent="0.25">
      <c r="A27" t="s">
        <v>107</v>
      </c>
      <c r="B27" s="4">
        <f>SUM(C23:N23)</f>
        <v>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5" ht="15.75" customHeight="1" x14ac:dyDescent="0.25">
      <c r="A28" t="s">
        <v>94</v>
      </c>
      <c r="B28" s="19">
        <f>SUM(B23:B27)</f>
        <v>0</v>
      </c>
      <c r="C28" s="30">
        <f t="shared" ref="C28:N28" si="1">SUM(C23:C27)</f>
        <v>0</v>
      </c>
      <c r="D28" s="30">
        <f t="shared" si="1"/>
        <v>0</v>
      </c>
      <c r="E28" s="30">
        <f t="shared" si="1"/>
        <v>0</v>
      </c>
      <c r="F28" s="30">
        <f t="shared" si="1"/>
        <v>0</v>
      </c>
      <c r="G28" s="30">
        <f t="shared" si="1"/>
        <v>0</v>
      </c>
      <c r="H28" s="30">
        <f t="shared" si="1"/>
        <v>0</v>
      </c>
      <c r="I28" s="30">
        <f t="shared" si="1"/>
        <v>0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  <c r="N28" s="30">
        <f t="shared" si="1"/>
        <v>0</v>
      </c>
    </row>
    <row r="29" spans="1:15" ht="15.75" customHeight="1" x14ac:dyDescent="0.25">
      <c r="B29" s="1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1:15" ht="15.75" customHeight="1" x14ac:dyDescent="0.25">
      <c r="A30" t="s">
        <v>96</v>
      </c>
      <c r="B30" s="1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1" spans="1:15" ht="15.75" customHeight="1" x14ac:dyDescent="0.25">
      <c r="A31" t="s">
        <v>95</v>
      </c>
      <c r="B31" s="4">
        <f>SUM(C27:N27)</f>
        <v>0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1:15" ht="15.75" customHeight="1" x14ac:dyDescent="0.25">
      <c r="A32" t="s">
        <v>97</v>
      </c>
      <c r="B32" s="19">
        <f>B28-B31</f>
        <v>0</v>
      </c>
      <c r="C32" s="30">
        <f t="shared" ref="C32:N32" si="2">C28-C31</f>
        <v>0</v>
      </c>
      <c r="D32" s="30">
        <f t="shared" si="2"/>
        <v>0</v>
      </c>
      <c r="E32" s="30">
        <f t="shared" si="2"/>
        <v>0</v>
      </c>
      <c r="F32" s="30">
        <f t="shared" si="2"/>
        <v>0</v>
      </c>
      <c r="G32" s="30">
        <f t="shared" si="2"/>
        <v>0</v>
      </c>
      <c r="H32" s="30">
        <f t="shared" si="2"/>
        <v>0</v>
      </c>
      <c r="I32" s="30">
        <f t="shared" si="2"/>
        <v>0</v>
      </c>
      <c r="J32" s="30">
        <f t="shared" si="2"/>
        <v>0</v>
      </c>
      <c r="K32" s="30">
        <f t="shared" si="2"/>
        <v>0</v>
      </c>
      <c r="L32" s="30">
        <f t="shared" si="2"/>
        <v>0</v>
      </c>
      <c r="M32" s="30">
        <f t="shared" si="2"/>
        <v>0</v>
      </c>
      <c r="N32" s="30">
        <f t="shared" si="2"/>
        <v>0</v>
      </c>
    </row>
    <row r="33" spans="1:17" ht="15.75" customHeight="1" x14ac:dyDescent="0.25"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7" ht="15.75" customHeight="1" x14ac:dyDescent="0.25">
      <c r="A34" t="s">
        <v>92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7" ht="15.75" customHeight="1" x14ac:dyDescent="0.25">
      <c r="A35" t="s">
        <v>21</v>
      </c>
      <c r="B35" s="1">
        <f>SUM(C35:N35)</f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">
        <v>523950.00000000006</v>
      </c>
      <c r="P35" s="3" t="s">
        <v>1</v>
      </c>
    </row>
    <row r="36" spans="1:17" ht="15.75" customHeight="1" x14ac:dyDescent="0.25">
      <c r="A36" t="s">
        <v>23</v>
      </c>
      <c r="B36" s="1">
        <f>SUM(C36:N36)</f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">
        <v>130987.5</v>
      </c>
      <c r="P36" s="3" t="s">
        <v>1</v>
      </c>
    </row>
    <row r="37" spans="1:17" ht="15.75" customHeight="1" x14ac:dyDescent="0.25">
      <c r="A37" t="s">
        <v>25</v>
      </c>
      <c r="B37" s="1">
        <f>SUM(C37:N37)</f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">
        <v>9000</v>
      </c>
      <c r="P37" s="3" t="s">
        <v>1</v>
      </c>
    </row>
    <row r="38" spans="1:17" ht="15.75" customHeight="1" x14ac:dyDescent="0.25">
      <c r="A38" t="s">
        <v>27</v>
      </c>
      <c r="B38" s="1">
        <f>SUM(C38:N38)</f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">
        <v>52395</v>
      </c>
      <c r="P38" s="3" t="s">
        <v>1</v>
      </c>
    </row>
    <row r="39" spans="1:17" ht="15.75" customHeight="1" x14ac:dyDescent="0.25">
      <c r="A39" t="s">
        <v>29</v>
      </c>
      <c r="B39" s="4">
        <f>SUM(C39:N39)</f>
        <v>0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4">
        <v>150000</v>
      </c>
      <c r="P39" s="3" t="s">
        <v>1</v>
      </c>
    </row>
    <row r="40" spans="1:17" ht="15.75" customHeight="1" x14ac:dyDescent="0.25">
      <c r="A40" t="s">
        <v>31</v>
      </c>
      <c r="B40" s="1">
        <f>SUM(B35:B39)</f>
        <v>0</v>
      </c>
      <c r="C40" s="16">
        <f>SUM(C35:C39)</f>
        <v>0</v>
      </c>
      <c r="D40" s="16">
        <f t="shared" ref="D40:N40" si="3">SUM(D35:D39)</f>
        <v>0</v>
      </c>
      <c r="E40" s="16">
        <f t="shared" si="3"/>
        <v>0</v>
      </c>
      <c r="F40" s="16">
        <f t="shared" si="3"/>
        <v>0</v>
      </c>
      <c r="G40" s="16">
        <f t="shared" si="3"/>
        <v>0</v>
      </c>
      <c r="H40" s="16">
        <f t="shared" si="3"/>
        <v>0</v>
      </c>
      <c r="I40" s="16">
        <f t="shared" si="3"/>
        <v>0</v>
      </c>
      <c r="J40" s="16">
        <f t="shared" si="3"/>
        <v>0</v>
      </c>
      <c r="K40" s="16">
        <f t="shared" si="3"/>
        <v>0</v>
      </c>
      <c r="L40" s="16">
        <f t="shared" si="3"/>
        <v>0</v>
      </c>
      <c r="M40" s="16">
        <f t="shared" si="3"/>
        <v>0</v>
      </c>
      <c r="N40" s="16">
        <f t="shared" si="3"/>
        <v>0</v>
      </c>
      <c r="O40" s="1">
        <v>866332.5</v>
      </c>
      <c r="P40" s="3" t="s">
        <v>1</v>
      </c>
    </row>
    <row r="41" spans="1:17" ht="15.75" customHeight="1" x14ac:dyDescent="0.25">
      <c r="B41" s="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">
        <v>0</v>
      </c>
      <c r="P41" s="3" t="s">
        <v>1</v>
      </c>
    </row>
    <row r="42" spans="1:17" ht="15.75" customHeight="1" x14ac:dyDescent="0.25">
      <c r="A42" t="s">
        <v>32</v>
      </c>
      <c r="B42" s="1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">
        <v>0</v>
      </c>
    </row>
    <row r="43" spans="1:17" ht="15.75" customHeight="1" x14ac:dyDescent="0.25">
      <c r="A43" t="s">
        <v>33</v>
      </c>
      <c r="B43" s="1">
        <f t="shared" ref="B43:B59" si="4">SUM(C43:N43)</f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">
        <v>9000</v>
      </c>
      <c r="P43" s="3" t="s">
        <v>1</v>
      </c>
      <c r="Q43" t="s">
        <v>1</v>
      </c>
    </row>
    <row r="44" spans="1:17" ht="15.75" customHeight="1" x14ac:dyDescent="0.25">
      <c r="A44" t="s">
        <v>35</v>
      </c>
      <c r="B44" s="1">
        <f t="shared" si="4"/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">
        <v>4800</v>
      </c>
      <c r="P44" s="3" t="s">
        <v>1</v>
      </c>
    </row>
    <row r="45" spans="1:17" ht="15.75" customHeight="1" x14ac:dyDescent="0.25">
      <c r="A45" t="s">
        <v>37</v>
      </c>
      <c r="B45" s="1">
        <f t="shared" si="4"/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">
        <v>7500</v>
      </c>
      <c r="P45" s="3" t="s">
        <v>1</v>
      </c>
    </row>
    <row r="46" spans="1:17" ht="15.75" customHeight="1" x14ac:dyDescent="0.25">
      <c r="A46" t="s">
        <v>39</v>
      </c>
      <c r="B46" s="1">
        <f t="shared" si="4"/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">
        <v>5400</v>
      </c>
      <c r="P46" s="3" t="s">
        <v>1</v>
      </c>
      <c r="Q46" t="s">
        <v>1</v>
      </c>
    </row>
    <row r="47" spans="1:17" ht="15.75" customHeight="1" x14ac:dyDescent="0.25">
      <c r="A47" t="s">
        <v>41</v>
      </c>
      <c r="B47" s="1">
        <f t="shared" si="4"/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">
        <v>600</v>
      </c>
      <c r="P47" s="3" t="s">
        <v>1</v>
      </c>
    </row>
    <row r="48" spans="1:17" ht="15.75" customHeight="1" x14ac:dyDescent="0.25">
      <c r="A48" t="s">
        <v>81</v>
      </c>
      <c r="B48" s="1">
        <f t="shared" si="4"/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">
        <v>7200</v>
      </c>
      <c r="P48" s="3" t="s">
        <v>1</v>
      </c>
    </row>
    <row r="49" spans="1:17" ht="15.75" customHeight="1" x14ac:dyDescent="0.25">
      <c r="A49" t="s">
        <v>45</v>
      </c>
      <c r="B49" s="1">
        <f t="shared" si="4"/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">
        <v>3600</v>
      </c>
      <c r="P49" s="3" t="s">
        <v>1</v>
      </c>
    </row>
    <row r="50" spans="1:17" ht="15.75" customHeight="1" x14ac:dyDescent="0.25">
      <c r="A50" t="s">
        <v>46</v>
      </c>
      <c r="B50" s="1">
        <f t="shared" si="4"/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">
        <v>9000</v>
      </c>
      <c r="P50" s="3" t="s">
        <v>1</v>
      </c>
    </row>
    <row r="51" spans="1:17" ht="15.75" customHeight="1" x14ac:dyDescent="0.25">
      <c r="A51" t="s">
        <v>48</v>
      </c>
      <c r="B51" s="1">
        <f t="shared" si="4"/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">
        <v>6000</v>
      </c>
      <c r="P51" s="3" t="s">
        <v>1</v>
      </c>
    </row>
    <row r="52" spans="1:17" ht="15.75" customHeight="1" x14ac:dyDescent="0.25">
      <c r="A52" t="s">
        <v>50</v>
      </c>
      <c r="B52" s="1">
        <f t="shared" si="4"/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">
        <v>17800.000000000004</v>
      </c>
      <c r="P52" s="3" t="s">
        <v>1</v>
      </c>
      <c r="Q52" t="s">
        <v>1</v>
      </c>
    </row>
    <row r="53" spans="1:17" ht="15.75" customHeight="1" x14ac:dyDescent="0.25">
      <c r="A53" t="s">
        <v>78</v>
      </c>
      <c r="B53" s="1">
        <f t="shared" si="4"/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"/>
      <c r="P53" s="3" t="s">
        <v>1</v>
      </c>
    </row>
    <row r="54" spans="1:17" ht="15.75" customHeight="1" x14ac:dyDescent="0.25">
      <c r="A54" t="s">
        <v>52</v>
      </c>
      <c r="B54" s="1">
        <f t="shared" si="4"/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">
        <v>480</v>
      </c>
      <c r="P54" s="3" t="s">
        <v>1</v>
      </c>
    </row>
    <row r="55" spans="1:17" ht="15.75" customHeight="1" x14ac:dyDescent="0.25">
      <c r="A55" t="s">
        <v>54</v>
      </c>
      <c r="B55" s="1">
        <f t="shared" si="4"/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">
        <v>36000</v>
      </c>
      <c r="P55" s="3" t="s">
        <v>1</v>
      </c>
    </row>
    <row r="56" spans="1:17" ht="15.75" customHeight="1" x14ac:dyDescent="0.25">
      <c r="A56" t="s">
        <v>100</v>
      </c>
      <c r="B56" s="1">
        <f>SUM(C56:N56)</f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"/>
    </row>
    <row r="57" spans="1:17" ht="15.75" customHeight="1" x14ac:dyDescent="0.25">
      <c r="A57" t="s">
        <v>56</v>
      </c>
      <c r="B57" s="1">
        <f t="shared" si="4"/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">
        <v>3780</v>
      </c>
      <c r="P57" s="3" t="s">
        <v>1</v>
      </c>
    </row>
    <row r="58" spans="1:17" ht="15.75" customHeight="1" x14ac:dyDescent="0.25">
      <c r="A58" t="s">
        <v>58</v>
      </c>
      <c r="B58" s="1">
        <f t="shared" si="4"/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">
        <v>0</v>
      </c>
      <c r="P58" s="3" t="s">
        <v>1</v>
      </c>
    </row>
    <row r="59" spans="1:17" ht="15.75" customHeight="1" x14ac:dyDescent="0.25">
      <c r="A59" t="s">
        <v>60</v>
      </c>
      <c r="B59" s="4">
        <f t="shared" si="4"/>
        <v>0</v>
      </c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4">
        <v>-280131</v>
      </c>
    </row>
    <row r="60" spans="1:17" ht="15.75" customHeight="1" x14ac:dyDescent="0.25">
      <c r="A60" t="s">
        <v>31</v>
      </c>
      <c r="B60" s="1">
        <f>SUM(B43:B59)</f>
        <v>0</v>
      </c>
      <c r="C60" s="16">
        <f>SUM(C43:C59)</f>
        <v>0</v>
      </c>
      <c r="D60" s="16">
        <f t="shared" ref="D60:N60" si="5">SUM(D43:D59)</f>
        <v>0</v>
      </c>
      <c r="E60" s="16">
        <f t="shared" si="5"/>
        <v>0</v>
      </c>
      <c r="F60" s="16">
        <f t="shared" si="5"/>
        <v>0</v>
      </c>
      <c r="G60" s="16">
        <f t="shared" si="5"/>
        <v>0</v>
      </c>
      <c r="H60" s="16">
        <f t="shared" si="5"/>
        <v>0</v>
      </c>
      <c r="I60" s="16">
        <f t="shared" si="5"/>
        <v>0</v>
      </c>
      <c r="J60" s="16">
        <f t="shared" si="5"/>
        <v>0</v>
      </c>
      <c r="K60" s="16">
        <f t="shared" si="5"/>
        <v>0</v>
      </c>
      <c r="L60" s="16">
        <f t="shared" si="5"/>
        <v>0</v>
      </c>
      <c r="M60" s="16">
        <f t="shared" si="5"/>
        <v>0</v>
      </c>
      <c r="N60" s="16">
        <f t="shared" si="5"/>
        <v>0</v>
      </c>
      <c r="O60" s="1">
        <v>-144971</v>
      </c>
    </row>
    <row r="61" spans="1:17" ht="15.75" customHeight="1" x14ac:dyDescent="0.25">
      <c r="B61" s="1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">
        <v>0</v>
      </c>
    </row>
    <row r="62" spans="1:17" ht="15.75" customHeight="1" x14ac:dyDescent="0.25">
      <c r="A62" t="s">
        <v>102</v>
      </c>
      <c r="B62" s="4">
        <f>SUM(C62:N62)</f>
        <v>0</v>
      </c>
      <c r="C62" s="29">
        <f t="shared" ref="C62:N62" si="6">C40+C60</f>
        <v>0</v>
      </c>
      <c r="D62" s="29">
        <f t="shared" si="6"/>
        <v>0</v>
      </c>
      <c r="E62" s="29">
        <f t="shared" si="6"/>
        <v>0</v>
      </c>
      <c r="F62" s="29">
        <f t="shared" si="6"/>
        <v>0</v>
      </c>
      <c r="G62" s="29">
        <f t="shared" si="6"/>
        <v>0</v>
      </c>
      <c r="H62" s="29">
        <f t="shared" si="6"/>
        <v>0</v>
      </c>
      <c r="I62" s="29">
        <f t="shared" si="6"/>
        <v>0</v>
      </c>
      <c r="J62" s="29">
        <f t="shared" si="6"/>
        <v>0</v>
      </c>
      <c r="K62" s="29">
        <f t="shared" si="6"/>
        <v>0</v>
      </c>
      <c r="L62" s="29">
        <f t="shared" si="6"/>
        <v>0</v>
      </c>
      <c r="M62" s="29">
        <f t="shared" si="6"/>
        <v>0</v>
      </c>
      <c r="N62" s="29">
        <f t="shared" si="6"/>
        <v>0</v>
      </c>
      <c r="O62" s="1"/>
    </row>
    <row r="63" spans="1:17" ht="15.7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7" ht="15.75" customHeight="1" x14ac:dyDescent="0.25">
      <c r="A64" t="s">
        <v>1</v>
      </c>
      <c r="B64" s="1" t="s">
        <v>1</v>
      </c>
      <c r="C64" s="1" t="s">
        <v>1</v>
      </c>
      <c r="D64" s="1" t="s">
        <v>1</v>
      </c>
      <c r="E64" s="1" t="s">
        <v>1</v>
      </c>
      <c r="F64" s="1" t="s">
        <v>1</v>
      </c>
      <c r="G64" s="1" t="s">
        <v>1</v>
      </c>
      <c r="H64" s="1" t="s">
        <v>1</v>
      </c>
      <c r="I64" s="1" t="s">
        <v>1</v>
      </c>
      <c r="J64" s="1" t="s">
        <v>1</v>
      </c>
      <c r="K64" s="1" t="s">
        <v>1</v>
      </c>
      <c r="L64" s="1" t="s">
        <v>1</v>
      </c>
      <c r="M64" s="1" t="s">
        <v>1</v>
      </c>
      <c r="N64" s="1" t="s">
        <v>1</v>
      </c>
      <c r="O64" s="1">
        <f>SUM(C64:N64)</f>
        <v>0</v>
      </c>
    </row>
    <row r="65" spans="1:15" ht="15.75" customHeight="1" x14ac:dyDescent="0.25">
      <c r="A65" t="s">
        <v>1</v>
      </c>
      <c r="B65" s="1" t="s">
        <v>1</v>
      </c>
      <c r="C65" s="1" t="s">
        <v>1</v>
      </c>
      <c r="D65" s="1" t="s">
        <v>1</v>
      </c>
      <c r="E65" s="1" t="s">
        <v>1</v>
      </c>
      <c r="F65" s="1" t="s">
        <v>1</v>
      </c>
      <c r="G65" s="1" t="s">
        <v>1</v>
      </c>
      <c r="H65" s="1" t="s">
        <v>1</v>
      </c>
      <c r="I65" s="1" t="s">
        <v>1</v>
      </c>
      <c r="J65" s="1" t="s">
        <v>1</v>
      </c>
      <c r="K65" s="1" t="s">
        <v>1</v>
      </c>
      <c r="L65" s="1" t="s">
        <v>1</v>
      </c>
      <c r="M65" s="1" t="s">
        <v>1</v>
      </c>
      <c r="N65" s="1" t="s">
        <v>1</v>
      </c>
      <c r="O65" s="1" t="s">
        <v>1</v>
      </c>
    </row>
    <row r="68" spans="1:15" ht="15.75" thickBot="1" x14ac:dyDescent="0.3">
      <c r="A68" t="s">
        <v>101</v>
      </c>
      <c r="B68" s="22">
        <f>SUM(C68:N68)</f>
        <v>0</v>
      </c>
      <c r="C68" s="22">
        <f t="shared" ref="C68:N68" si="7">C32-C62</f>
        <v>0</v>
      </c>
      <c r="D68" s="22">
        <f t="shared" si="7"/>
        <v>0</v>
      </c>
      <c r="E68" s="22">
        <f t="shared" si="7"/>
        <v>0</v>
      </c>
      <c r="F68" s="22">
        <f t="shared" si="7"/>
        <v>0</v>
      </c>
      <c r="G68" s="22">
        <f t="shared" si="7"/>
        <v>0</v>
      </c>
      <c r="H68" s="22">
        <f t="shared" si="7"/>
        <v>0</v>
      </c>
      <c r="I68" s="22">
        <f t="shared" si="7"/>
        <v>0</v>
      </c>
      <c r="J68" s="22">
        <f t="shared" si="7"/>
        <v>0</v>
      </c>
      <c r="K68" s="22">
        <f t="shared" si="7"/>
        <v>0</v>
      </c>
      <c r="L68" s="22">
        <f t="shared" si="7"/>
        <v>0</v>
      </c>
      <c r="M68" s="22">
        <f t="shared" si="7"/>
        <v>0</v>
      </c>
      <c r="N68" s="22">
        <f t="shared" si="7"/>
        <v>0</v>
      </c>
    </row>
    <row r="69" spans="1:15" ht="15.75" thickTop="1" x14ac:dyDescent="0.25"/>
  </sheetData>
  <pageMargins left="0.7" right="0.7" top="0.75" bottom="0.75" header="0.3" footer="0.3"/>
  <pageSetup scale="54" orientation="landscape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69"/>
  <sheetViews>
    <sheetView workbookViewId="0">
      <selection activeCell="A27" sqref="A27"/>
    </sheetView>
  </sheetViews>
  <sheetFormatPr defaultRowHeight="15" x14ac:dyDescent="0.25"/>
  <cols>
    <col min="1" max="1" width="26.42578125" customWidth="1"/>
    <col min="2" max="2" width="10.7109375" bestFit="1" customWidth="1"/>
    <col min="3" max="3" width="9.7109375" bestFit="1" customWidth="1"/>
    <col min="4" max="14" width="10" bestFit="1" customWidth="1"/>
    <col min="15" max="15" width="11.5703125" hidden="1" customWidth="1"/>
    <col min="16" max="16" width="50.42578125" style="3" customWidth="1"/>
  </cols>
  <sheetData>
    <row r="2" spans="1:16" ht="15.75" x14ac:dyDescent="0.25">
      <c r="A2" s="8" t="s">
        <v>0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/>
    </row>
    <row r="3" spans="1:16" ht="15.75" x14ac:dyDescent="0.25">
      <c r="A3" s="8" t="str">
        <f>'Budget Summary'!A3</f>
        <v>2009 Operating Budget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6" ht="15.75" x14ac:dyDescent="0.25">
      <c r="A4" s="14" t="s">
        <v>89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</row>
    <row r="5" spans="1:16" ht="15.75" x14ac:dyDescent="0.25">
      <c r="A5" s="12"/>
      <c r="B5" s="6" t="s">
        <v>2</v>
      </c>
      <c r="C5" s="7">
        <f>'Budget Summary'!C5</f>
        <v>39814</v>
      </c>
      <c r="D5" s="7">
        <f>C5+31</f>
        <v>39845</v>
      </c>
      <c r="E5" s="7">
        <f t="shared" ref="E5:N5" si="0">D5+31</f>
        <v>39876</v>
      </c>
      <c r="F5" s="7">
        <f t="shared" si="0"/>
        <v>39907</v>
      </c>
      <c r="G5" s="7">
        <f t="shared" si="0"/>
        <v>39938</v>
      </c>
      <c r="H5" s="7">
        <f t="shared" si="0"/>
        <v>39969</v>
      </c>
      <c r="I5" s="7">
        <f t="shared" si="0"/>
        <v>40000</v>
      </c>
      <c r="J5" s="7">
        <f t="shared" si="0"/>
        <v>40031</v>
      </c>
      <c r="K5" s="7">
        <f t="shared" si="0"/>
        <v>40062</v>
      </c>
      <c r="L5" s="7">
        <f t="shared" si="0"/>
        <v>40093</v>
      </c>
      <c r="M5" s="7">
        <f t="shared" si="0"/>
        <v>40124</v>
      </c>
      <c r="N5" s="7">
        <f t="shared" si="0"/>
        <v>40155</v>
      </c>
      <c r="O5" s="13" t="s">
        <v>62</v>
      </c>
      <c r="P5" s="2" t="s">
        <v>3</v>
      </c>
    </row>
    <row r="6" spans="1:16" hidden="1" x14ac:dyDescent="0.25">
      <c r="A6" t="s">
        <v>80</v>
      </c>
    </row>
    <row r="7" spans="1:16" hidden="1" x14ac:dyDescent="0.25">
      <c r="A7" t="s">
        <v>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136950</v>
      </c>
    </row>
    <row r="8" spans="1:16" hidden="1" x14ac:dyDescent="0.25">
      <c r="A8" t="s">
        <v>5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126000</v>
      </c>
    </row>
    <row r="9" spans="1:16" hidden="1" x14ac:dyDescent="0.25">
      <c r="A9" t="s">
        <v>6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126000</v>
      </c>
    </row>
    <row r="10" spans="1:16" hidden="1" x14ac:dyDescent="0.25">
      <c r="A10" t="s">
        <v>7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</row>
    <row r="11" spans="1:16" hidden="1" x14ac:dyDescent="0.25">
      <c r="A11" t="s">
        <v>8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40000</v>
      </c>
    </row>
    <row r="12" spans="1:16" hidden="1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</row>
    <row r="13" spans="1:16" hidden="1" x14ac:dyDescent="0.25">
      <c r="A13" t="s">
        <v>10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55000.000000000007</v>
      </c>
    </row>
    <row r="14" spans="1:16" hidden="1" x14ac:dyDescent="0.25">
      <c r="A14" t="s">
        <v>11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6" hidden="1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6" hidden="1" x14ac:dyDescent="0.25">
      <c r="A16" t="s">
        <v>13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40000</v>
      </c>
    </row>
    <row r="17" spans="1:15" hidden="1" x14ac:dyDescent="0.25">
      <c r="A17" t="s">
        <v>14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</row>
    <row r="18" spans="1:15" ht="15.75" customHeight="1" x14ac:dyDescent="0.25">
      <c r="A18" t="s">
        <v>93</v>
      </c>
      <c r="O18" t="s">
        <v>1</v>
      </c>
    </row>
    <row r="19" spans="1:15" ht="15.75" customHeight="1" x14ac:dyDescent="0.25">
      <c r="A19" t="s">
        <v>98</v>
      </c>
      <c r="B19" s="1">
        <f t="shared" ref="B19:B27" si="1">SUM(C19:N19)</f>
        <v>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ht="15.75" customHeight="1" x14ac:dyDescent="0.25">
      <c r="A20" t="s">
        <v>104</v>
      </c>
      <c r="B20" s="1">
        <f t="shared" si="1"/>
        <v>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5" ht="15.75" customHeight="1" x14ac:dyDescent="0.25">
      <c r="A21" t="s">
        <v>116</v>
      </c>
      <c r="B21" s="1">
        <f t="shared" si="1"/>
        <v>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5" ht="15.75" customHeight="1" x14ac:dyDescent="0.25">
      <c r="A22" t="s">
        <v>86</v>
      </c>
      <c r="B22" s="1">
        <f t="shared" si="1"/>
        <v>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5" ht="15.75" customHeight="1" x14ac:dyDescent="0.25">
      <c r="A23" t="s">
        <v>87</v>
      </c>
      <c r="B23" s="1">
        <f t="shared" si="1"/>
        <v>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5" ht="15.75" customHeight="1" x14ac:dyDescent="0.25">
      <c r="A24" t="s">
        <v>88</v>
      </c>
      <c r="B24" s="1">
        <f t="shared" si="1"/>
        <v>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5" ht="15.75" customHeight="1" x14ac:dyDescent="0.25">
      <c r="A25" t="s">
        <v>105</v>
      </c>
      <c r="B25" s="1">
        <f t="shared" si="1"/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</row>
    <row r="26" spans="1:15" ht="15.75" customHeight="1" x14ac:dyDescent="0.25">
      <c r="A26" t="s">
        <v>106</v>
      </c>
      <c r="B26" s="1">
        <f t="shared" si="1"/>
        <v>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5" ht="15.75" customHeight="1" x14ac:dyDescent="0.25">
      <c r="A27" t="s">
        <v>107</v>
      </c>
      <c r="B27" s="4">
        <f t="shared" si="1"/>
        <v>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5" ht="15.75" customHeight="1" x14ac:dyDescent="0.25">
      <c r="A28" t="s">
        <v>94</v>
      </c>
      <c r="B28" s="19">
        <f>SUM(B23:B27)</f>
        <v>0</v>
      </c>
      <c r="C28" s="19">
        <f t="shared" ref="C28:N28" si="2">SUM(C23:C27)</f>
        <v>0</v>
      </c>
      <c r="D28" s="19">
        <f t="shared" si="2"/>
        <v>0</v>
      </c>
      <c r="E28" s="19">
        <f t="shared" si="2"/>
        <v>0</v>
      </c>
      <c r="F28" s="19">
        <f t="shared" si="2"/>
        <v>0</v>
      </c>
      <c r="G28" s="19">
        <f t="shared" si="2"/>
        <v>0</v>
      </c>
      <c r="H28" s="19">
        <f t="shared" si="2"/>
        <v>0</v>
      </c>
      <c r="I28" s="19">
        <f t="shared" si="2"/>
        <v>0</v>
      </c>
      <c r="J28" s="19">
        <f t="shared" si="2"/>
        <v>0</v>
      </c>
      <c r="K28" s="19">
        <f t="shared" si="2"/>
        <v>0</v>
      </c>
      <c r="L28" s="19">
        <f t="shared" si="2"/>
        <v>0</v>
      </c>
      <c r="M28" s="19">
        <f t="shared" si="2"/>
        <v>0</v>
      </c>
      <c r="N28" s="19">
        <f t="shared" si="2"/>
        <v>0</v>
      </c>
    </row>
    <row r="29" spans="1:15" ht="15.75" customHeight="1" x14ac:dyDescent="0.2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5" ht="15.75" customHeight="1" x14ac:dyDescent="0.25">
      <c r="A30" t="s">
        <v>96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5" ht="15.75" customHeight="1" x14ac:dyDescent="0.25">
      <c r="A31" t="s">
        <v>95</v>
      </c>
      <c r="B31" s="4">
        <f>SUM(C27:N27)</f>
        <v>0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5" ht="15.75" customHeight="1" x14ac:dyDescent="0.25">
      <c r="A32" t="s">
        <v>97</v>
      </c>
      <c r="B32" s="19">
        <f>B28-B31</f>
        <v>0</v>
      </c>
      <c r="C32" s="19">
        <f t="shared" ref="C32:N32" si="3">C28-C31</f>
        <v>0</v>
      </c>
      <c r="D32" s="19">
        <f t="shared" si="3"/>
        <v>0</v>
      </c>
      <c r="E32" s="19">
        <f t="shared" si="3"/>
        <v>0</v>
      </c>
      <c r="F32" s="19">
        <f t="shared" si="3"/>
        <v>0</v>
      </c>
      <c r="G32" s="19">
        <f t="shared" si="3"/>
        <v>0</v>
      </c>
      <c r="H32" s="19">
        <f t="shared" si="3"/>
        <v>0</v>
      </c>
      <c r="I32" s="19">
        <f t="shared" si="3"/>
        <v>0</v>
      </c>
      <c r="J32" s="19">
        <f t="shared" si="3"/>
        <v>0</v>
      </c>
      <c r="K32" s="19">
        <f t="shared" si="3"/>
        <v>0</v>
      </c>
      <c r="L32" s="19">
        <f t="shared" si="3"/>
        <v>0</v>
      </c>
      <c r="M32" s="19">
        <f t="shared" si="3"/>
        <v>0</v>
      </c>
      <c r="N32" s="19">
        <f t="shared" si="3"/>
        <v>0</v>
      </c>
    </row>
    <row r="33" spans="1:19" ht="15.75" customHeight="1" x14ac:dyDescent="0.2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9" ht="15.75" customHeight="1" x14ac:dyDescent="0.25">
      <c r="A34" t="s">
        <v>92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9" ht="15.75" customHeight="1" x14ac:dyDescent="0.25">
      <c r="A35" t="s">
        <v>21</v>
      </c>
      <c r="B35" s="1">
        <f>SUM(C35:N35)</f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523950.00000000006</v>
      </c>
      <c r="P35" s="3" t="s">
        <v>1</v>
      </c>
      <c r="Q35" t="s">
        <v>1</v>
      </c>
    </row>
    <row r="36" spans="1:19" ht="15.75" customHeight="1" x14ac:dyDescent="0.25">
      <c r="A36" t="s">
        <v>23</v>
      </c>
      <c r="B36" s="1">
        <f>SUM(C36:N36)</f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130987.5</v>
      </c>
      <c r="P36" s="3" t="s">
        <v>1</v>
      </c>
      <c r="Q36" t="s">
        <v>1</v>
      </c>
      <c r="R36" t="s">
        <v>1</v>
      </c>
      <c r="S36" t="s">
        <v>1</v>
      </c>
    </row>
    <row r="37" spans="1:19" ht="15.75" customHeight="1" x14ac:dyDescent="0.25">
      <c r="A37" t="s">
        <v>25</v>
      </c>
      <c r="B37" s="1">
        <f>SUM(C37:N37)</f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9000</v>
      </c>
      <c r="P37" s="15" t="s">
        <v>1</v>
      </c>
      <c r="Q37" t="s">
        <v>1</v>
      </c>
    </row>
    <row r="38" spans="1:19" ht="15.75" customHeight="1" x14ac:dyDescent="0.25">
      <c r="A38" t="s">
        <v>27</v>
      </c>
      <c r="B38" s="1">
        <f>SUM(C38:N38)</f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52395</v>
      </c>
      <c r="P38" s="3" t="s">
        <v>1</v>
      </c>
    </row>
    <row r="39" spans="1:19" ht="15.75" customHeight="1" x14ac:dyDescent="0.25">
      <c r="A39" t="s">
        <v>29</v>
      </c>
      <c r="B39" s="4">
        <f>SUM(C39:N39)</f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150000</v>
      </c>
      <c r="P39" s="3" t="s">
        <v>1</v>
      </c>
    </row>
    <row r="40" spans="1:19" ht="15.75" customHeight="1" x14ac:dyDescent="0.25">
      <c r="A40" t="s">
        <v>31</v>
      </c>
      <c r="B40" s="1">
        <f>SUM(B35:B39)</f>
        <v>0</v>
      </c>
      <c r="C40" s="1">
        <f>SUM(C35:C39)</f>
        <v>0</v>
      </c>
      <c r="D40" s="1">
        <f t="shared" ref="D40:N40" si="4">SUM(D35:D39)</f>
        <v>0</v>
      </c>
      <c r="E40" s="1">
        <f t="shared" si="4"/>
        <v>0</v>
      </c>
      <c r="F40" s="1">
        <f t="shared" si="4"/>
        <v>0</v>
      </c>
      <c r="G40" s="1">
        <f t="shared" si="4"/>
        <v>0</v>
      </c>
      <c r="H40" s="1">
        <f t="shared" si="4"/>
        <v>0</v>
      </c>
      <c r="I40" s="1">
        <f t="shared" si="4"/>
        <v>0</v>
      </c>
      <c r="J40" s="1">
        <f t="shared" si="4"/>
        <v>0</v>
      </c>
      <c r="K40" s="1">
        <f t="shared" si="4"/>
        <v>0</v>
      </c>
      <c r="L40" s="1">
        <f t="shared" si="4"/>
        <v>0</v>
      </c>
      <c r="M40" s="1">
        <f t="shared" si="4"/>
        <v>0</v>
      </c>
      <c r="N40" s="1">
        <f t="shared" si="4"/>
        <v>0</v>
      </c>
      <c r="O40" s="1">
        <v>866332.5</v>
      </c>
      <c r="P40" s="3" t="s">
        <v>1</v>
      </c>
    </row>
    <row r="41" spans="1:19" ht="15.7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>
        <v>0</v>
      </c>
      <c r="P41" s="3" t="s">
        <v>1</v>
      </c>
    </row>
    <row r="42" spans="1:19" ht="15.75" customHeight="1" x14ac:dyDescent="0.25">
      <c r="A42" t="s">
        <v>32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>
        <v>0</v>
      </c>
    </row>
    <row r="43" spans="1:19" ht="15.75" customHeight="1" x14ac:dyDescent="0.25">
      <c r="A43" t="s">
        <v>33</v>
      </c>
      <c r="B43" s="1">
        <f t="shared" ref="B43:B59" si="5">SUM(C43:N43)</f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9000</v>
      </c>
      <c r="P43" s="3" t="s">
        <v>1</v>
      </c>
      <c r="Q43" t="s">
        <v>1</v>
      </c>
    </row>
    <row r="44" spans="1:19" ht="15.75" customHeight="1" x14ac:dyDescent="0.25">
      <c r="A44" t="s">
        <v>35</v>
      </c>
      <c r="B44" s="1">
        <f t="shared" si="5"/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4800</v>
      </c>
      <c r="P44" s="3" t="s">
        <v>1</v>
      </c>
    </row>
    <row r="45" spans="1:19" ht="15.75" customHeight="1" x14ac:dyDescent="0.25">
      <c r="A45" t="s">
        <v>37</v>
      </c>
      <c r="B45" s="1">
        <f t="shared" si="5"/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7500</v>
      </c>
      <c r="P45" s="3" t="s">
        <v>1</v>
      </c>
    </row>
    <row r="46" spans="1:19" ht="15.75" customHeight="1" x14ac:dyDescent="0.25">
      <c r="A46" t="s">
        <v>39</v>
      </c>
      <c r="B46" s="1">
        <f t="shared" si="5"/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5400</v>
      </c>
      <c r="P46" s="3" t="s">
        <v>1</v>
      </c>
      <c r="Q46" t="s">
        <v>1</v>
      </c>
    </row>
    <row r="47" spans="1:19" ht="15.75" customHeight="1" x14ac:dyDescent="0.25">
      <c r="A47" t="s">
        <v>41</v>
      </c>
      <c r="B47" s="1">
        <f t="shared" si="5"/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600</v>
      </c>
      <c r="P47" s="3" t="s">
        <v>1</v>
      </c>
    </row>
    <row r="48" spans="1:19" ht="15.75" customHeight="1" x14ac:dyDescent="0.25">
      <c r="A48" t="s">
        <v>81</v>
      </c>
      <c r="B48" s="1">
        <f t="shared" si="5"/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7200</v>
      </c>
      <c r="P48" s="3" t="s">
        <v>1</v>
      </c>
    </row>
    <row r="49" spans="1:17" ht="15.75" customHeight="1" x14ac:dyDescent="0.25">
      <c r="A49" t="s">
        <v>45</v>
      </c>
      <c r="B49" s="1">
        <f t="shared" si="5"/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3600</v>
      </c>
      <c r="P49" s="3" t="s">
        <v>1</v>
      </c>
    </row>
    <row r="50" spans="1:17" ht="15.75" customHeight="1" x14ac:dyDescent="0.25">
      <c r="A50" t="s">
        <v>46</v>
      </c>
      <c r="B50" s="1">
        <f t="shared" si="5"/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9000</v>
      </c>
      <c r="P50" s="3" t="s">
        <v>1</v>
      </c>
    </row>
    <row r="51" spans="1:17" ht="15.75" customHeight="1" x14ac:dyDescent="0.25">
      <c r="A51" t="s">
        <v>48</v>
      </c>
      <c r="B51" s="1">
        <f t="shared" si="5"/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6000</v>
      </c>
      <c r="P51" s="3" t="s">
        <v>1</v>
      </c>
    </row>
    <row r="52" spans="1:17" ht="15.75" customHeight="1" x14ac:dyDescent="0.25">
      <c r="A52" t="s">
        <v>50</v>
      </c>
      <c r="B52" s="1">
        <f t="shared" si="5"/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17800.000000000004</v>
      </c>
      <c r="P52" s="3" t="s">
        <v>1</v>
      </c>
      <c r="Q52" t="s">
        <v>1</v>
      </c>
    </row>
    <row r="53" spans="1:17" ht="15.75" customHeight="1" x14ac:dyDescent="0.25">
      <c r="A53" t="s">
        <v>78</v>
      </c>
      <c r="B53" s="1">
        <f t="shared" si="5"/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/>
      <c r="P53" s="3" t="s">
        <v>1</v>
      </c>
    </row>
    <row r="54" spans="1:17" ht="15.75" customHeight="1" x14ac:dyDescent="0.25">
      <c r="A54" t="s">
        <v>52</v>
      </c>
      <c r="B54" s="1">
        <f t="shared" si="5"/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480</v>
      </c>
      <c r="P54" s="3" t="s">
        <v>1</v>
      </c>
    </row>
    <row r="55" spans="1:17" ht="15.75" customHeight="1" x14ac:dyDescent="0.25">
      <c r="A55" t="s">
        <v>54</v>
      </c>
      <c r="B55" s="1">
        <f t="shared" si="5"/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36000</v>
      </c>
      <c r="P55" s="3" t="s">
        <v>1</v>
      </c>
    </row>
    <row r="56" spans="1:17" ht="15.75" customHeight="1" x14ac:dyDescent="0.25">
      <c r="A56" t="s">
        <v>100</v>
      </c>
      <c r="B56" s="1">
        <f>SUM(C56:N56)</f>
        <v>29000</v>
      </c>
      <c r="C56" s="1">
        <v>0</v>
      </c>
      <c r="D56" s="1">
        <v>0</v>
      </c>
      <c r="E56" s="1">
        <v>29000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/>
      <c r="P56" s="3" t="s">
        <v>123</v>
      </c>
    </row>
    <row r="57" spans="1:17" ht="15.75" customHeight="1" x14ac:dyDescent="0.25">
      <c r="A57" t="s">
        <v>56</v>
      </c>
      <c r="B57" s="1">
        <f t="shared" si="5"/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3780</v>
      </c>
      <c r="P57" s="3" t="s">
        <v>1</v>
      </c>
    </row>
    <row r="58" spans="1:17" ht="15.75" customHeight="1" x14ac:dyDescent="0.25">
      <c r="A58" t="s">
        <v>58</v>
      </c>
      <c r="B58" s="1">
        <f t="shared" si="5"/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3" t="s">
        <v>1</v>
      </c>
    </row>
    <row r="59" spans="1:17" ht="15.75" customHeight="1" x14ac:dyDescent="0.25">
      <c r="A59" t="s">
        <v>60</v>
      </c>
      <c r="B59" s="4">
        <f t="shared" si="5"/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-280131</v>
      </c>
    </row>
    <row r="60" spans="1:17" ht="15.75" customHeight="1" x14ac:dyDescent="0.25">
      <c r="A60" t="s">
        <v>31</v>
      </c>
      <c r="B60" s="1">
        <f>SUM(B43:B59)</f>
        <v>29000</v>
      </c>
      <c r="C60" s="1">
        <f>SUM(C43:C59)</f>
        <v>0</v>
      </c>
      <c r="D60" s="1">
        <f t="shared" ref="D60:N60" si="6">SUM(D43:D59)</f>
        <v>0</v>
      </c>
      <c r="E60" s="1">
        <f t="shared" si="6"/>
        <v>29000</v>
      </c>
      <c r="F60" s="1">
        <f t="shared" si="6"/>
        <v>0</v>
      </c>
      <c r="G60" s="1">
        <f t="shared" si="6"/>
        <v>0</v>
      </c>
      <c r="H60" s="1">
        <f t="shared" si="6"/>
        <v>0</v>
      </c>
      <c r="I60" s="1">
        <f t="shared" si="6"/>
        <v>0</v>
      </c>
      <c r="J60" s="1">
        <f t="shared" si="6"/>
        <v>0</v>
      </c>
      <c r="K60" s="1">
        <f t="shared" si="6"/>
        <v>0</v>
      </c>
      <c r="L60" s="1">
        <f t="shared" si="6"/>
        <v>0</v>
      </c>
      <c r="M60" s="1">
        <f t="shared" si="6"/>
        <v>0</v>
      </c>
      <c r="N60" s="1">
        <f t="shared" si="6"/>
        <v>0</v>
      </c>
      <c r="O60" s="1">
        <v>-144971</v>
      </c>
    </row>
    <row r="61" spans="1:17" ht="15.7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>
        <v>0</v>
      </c>
    </row>
    <row r="62" spans="1:17" ht="15.75" customHeight="1" x14ac:dyDescent="0.25">
      <c r="A62" t="s">
        <v>102</v>
      </c>
      <c r="B62" s="4">
        <f>SUM(C62:N62)</f>
        <v>29000</v>
      </c>
      <c r="C62" s="4">
        <f t="shared" ref="C62:N62" si="7">C40+C60</f>
        <v>0</v>
      </c>
      <c r="D62" s="4">
        <f t="shared" si="7"/>
        <v>0</v>
      </c>
      <c r="E62" s="4">
        <f t="shared" si="7"/>
        <v>29000</v>
      </c>
      <c r="F62" s="4">
        <f t="shared" si="7"/>
        <v>0</v>
      </c>
      <c r="G62" s="4">
        <f t="shared" si="7"/>
        <v>0</v>
      </c>
      <c r="H62" s="4">
        <f t="shared" si="7"/>
        <v>0</v>
      </c>
      <c r="I62" s="4">
        <f t="shared" si="7"/>
        <v>0</v>
      </c>
      <c r="J62" s="4">
        <f t="shared" si="7"/>
        <v>0</v>
      </c>
      <c r="K62" s="4">
        <f t="shared" si="7"/>
        <v>0</v>
      </c>
      <c r="L62" s="4">
        <f t="shared" si="7"/>
        <v>0</v>
      </c>
      <c r="M62" s="4">
        <f t="shared" si="7"/>
        <v>0</v>
      </c>
      <c r="N62" s="4">
        <f t="shared" si="7"/>
        <v>0</v>
      </c>
      <c r="O62" s="1"/>
    </row>
    <row r="63" spans="1:17" ht="15.7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7" ht="15.75" customHeight="1" x14ac:dyDescent="0.25">
      <c r="A64" t="s">
        <v>1</v>
      </c>
      <c r="B64" s="1" t="s">
        <v>1</v>
      </c>
      <c r="C64" s="1" t="s">
        <v>1</v>
      </c>
      <c r="D64" s="1" t="s">
        <v>1</v>
      </c>
      <c r="E64" s="1" t="s">
        <v>1</v>
      </c>
      <c r="F64" s="1" t="s">
        <v>1</v>
      </c>
      <c r="G64" s="1" t="s">
        <v>1</v>
      </c>
      <c r="H64" s="1" t="s">
        <v>1</v>
      </c>
      <c r="I64" s="1" t="s">
        <v>1</v>
      </c>
      <c r="J64" s="1" t="s">
        <v>1</v>
      </c>
      <c r="K64" s="1" t="s">
        <v>1</v>
      </c>
      <c r="L64" s="1" t="s">
        <v>1</v>
      </c>
      <c r="M64" s="1" t="s">
        <v>1</v>
      </c>
      <c r="N64" s="1" t="s">
        <v>1</v>
      </c>
      <c r="O64" s="1">
        <f>SUM(C64:N64)</f>
        <v>0</v>
      </c>
    </row>
    <row r="65" spans="1:15" ht="15.75" customHeight="1" x14ac:dyDescent="0.25">
      <c r="A65" t="s">
        <v>1</v>
      </c>
      <c r="B65" s="1" t="s">
        <v>1</v>
      </c>
      <c r="C65" s="1" t="s">
        <v>1</v>
      </c>
      <c r="D65" s="1" t="s">
        <v>1</v>
      </c>
      <c r="E65" s="1" t="s">
        <v>1</v>
      </c>
      <c r="F65" s="1" t="s">
        <v>1</v>
      </c>
      <c r="G65" s="1" t="s">
        <v>1</v>
      </c>
      <c r="H65" s="1" t="s">
        <v>1</v>
      </c>
      <c r="I65" s="1" t="s">
        <v>1</v>
      </c>
      <c r="J65" s="1" t="str">
        <f>J64</f>
        <v xml:space="preserve"> </v>
      </c>
      <c r="K65" s="1" t="s">
        <v>1</v>
      </c>
      <c r="L65" s="1" t="s">
        <v>1</v>
      </c>
      <c r="M65" s="1" t="s">
        <v>1</v>
      </c>
      <c r="N65" s="1" t="s">
        <v>1</v>
      </c>
      <c r="O65" s="1" t="s">
        <v>1</v>
      </c>
    </row>
    <row r="66" spans="1:15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5" x14ac:dyDescent="0.2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5" ht="15.75" thickBot="1" x14ac:dyDescent="0.3">
      <c r="A68" t="s">
        <v>101</v>
      </c>
      <c r="B68" s="22">
        <f>B32-B62</f>
        <v>-29000</v>
      </c>
      <c r="C68" s="22">
        <f>B32-C62</f>
        <v>0</v>
      </c>
      <c r="D68" s="22">
        <f t="shared" ref="D68:N68" si="8">C68-D62</f>
        <v>0</v>
      </c>
      <c r="E68" s="22">
        <f t="shared" si="8"/>
        <v>-29000</v>
      </c>
      <c r="F68" s="22">
        <f t="shared" si="8"/>
        <v>-29000</v>
      </c>
      <c r="G68" s="22">
        <f t="shared" si="8"/>
        <v>-29000</v>
      </c>
      <c r="H68" s="22">
        <f t="shared" si="8"/>
        <v>-29000</v>
      </c>
      <c r="I68" s="22">
        <f t="shared" si="8"/>
        <v>-29000</v>
      </c>
      <c r="J68" s="22">
        <f t="shared" si="8"/>
        <v>-29000</v>
      </c>
      <c r="K68" s="22">
        <f t="shared" si="8"/>
        <v>-29000</v>
      </c>
      <c r="L68" s="22">
        <f t="shared" si="8"/>
        <v>-29000</v>
      </c>
      <c r="M68" s="22">
        <f t="shared" si="8"/>
        <v>-29000</v>
      </c>
      <c r="N68" s="22">
        <f t="shared" si="8"/>
        <v>-29000</v>
      </c>
    </row>
    <row r="69" spans="1:15" ht="15.75" thickTop="1" x14ac:dyDescent="0.25"/>
  </sheetData>
  <pageMargins left="0.7" right="0.7" top="0.75" bottom="0.75" header="0.3" footer="0.3"/>
  <pageSetup scale="52" orientation="landscape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9"/>
  <sheetViews>
    <sheetView workbookViewId="0">
      <pane xSplit="1" ySplit="17" topLeftCell="B27" activePane="bottomRight" state="frozen"/>
      <selection activeCell="A27" sqref="A27"/>
      <selection pane="topRight" activeCell="A27" sqref="A27"/>
      <selection pane="bottomLeft" activeCell="A27" sqref="A27"/>
      <selection pane="bottomRight" activeCell="A27" sqref="A27"/>
    </sheetView>
  </sheetViews>
  <sheetFormatPr defaultRowHeight="15" x14ac:dyDescent="0.25"/>
  <cols>
    <col min="1" max="1" width="26.42578125" customWidth="1"/>
    <col min="2" max="2" width="10.7109375" bestFit="1" customWidth="1"/>
    <col min="3" max="3" width="9.7109375" bestFit="1" customWidth="1"/>
    <col min="4" max="14" width="10" bestFit="1" customWidth="1"/>
    <col min="15" max="15" width="11.5703125" hidden="1" customWidth="1"/>
    <col min="16" max="16" width="50.42578125" style="3" customWidth="1"/>
  </cols>
  <sheetData>
    <row r="2" spans="1:16" ht="15.75" x14ac:dyDescent="0.25">
      <c r="A2" s="8" t="s">
        <v>0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/>
    </row>
    <row r="3" spans="1:16" ht="15.75" x14ac:dyDescent="0.25">
      <c r="A3" s="8" t="str">
        <f>'Budget Summary'!A3</f>
        <v>2009 Operating Budget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6" ht="15.75" x14ac:dyDescent="0.25">
      <c r="A4" s="14" t="s">
        <v>107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</row>
    <row r="5" spans="1:16" ht="15.75" x14ac:dyDescent="0.25">
      <c r="A5" s="12"/>
      <c r="B5" s="6" t="s">
        <v>2</v>
      </c>
      <c r="C5" s="7">
        <f>'Budget Summary'!C5</f>
        <v>39814</v>
      </c>
      <c r="D5" s="7">
        <f>C5+31</f>
        <v>39845</v>
      </c>
      <c r="E5" s="7">
        <f t="shared" ref="E5:N5" si="0">D5+31</f>
        <v>39876</v>
      </c>
      <c r="F5" s="7">
        <f t="shared" si="0"/>
        <v>39907</v>
      </c>
      <c r="G5" s="7">
        <f t="shared" si="0"/>
        <v>39938</v>
      </c>
      <c r="H5" s="7">
        <f t="shared" si="0"/>
        <v>39969</v>
      </c>
      <c r="I5" s="7">
        <f t="shared" si="0"/>
        <v>40000</v>
      </c>
      <c r="J5" s="7">
        <f t="shared" si="0"/>
        <v>40031</v>
      </c>
      <c r="K5" s="7">
        <f t="shared" si="0"/>
        <v>40062</v>
      </c>
      <c r="L5" s="7">
        <f t="shared" si="0"/>
        <v>40093</v>
      </c>
      <c r="M5" s="7">
        <f t="shared" si="0"/>
        <v>40124</v>
      </c>
      <c r="N5" s="7">
        <f t="shared" si="0"/>
        <v>40155</v>
      </c>
      <c r="O5" s="13" t="s">
        <v>62</v>
      </c>
      <c r="P5" s="2" t="s">
        <v>3</v>
      </c>
    </row>
    <row r="6" spans="1:16" hidden="1" x14ac:dyDescent="0.25">
      <c r="A6" t="s">
        <v>80</v>
      </c>
    </row>
    <row r="7" spans="1:16" hidden="1" x14ac:dyDescent="0.25">
      <c r="A7" t="s">
        <v>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136950</v>
      </c>
    </row>
    <row r="8" spans="1:16" hidden="1" x14ac:dyDescent="0.25">
      <c r="A8" t="s">
        <v>5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126000</v>
      </c>
    </row>
    <row r="9" spans="1:16" hidden="1" x14ac:dyDescent="0.25">
      <c r="A9" t="s">
        <v>6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126000</v>
      </c>
    </row>
    <row r="10" spans="1:16" hidden="1" x14ac:dyDescent="0.25">
      <c r="A10" t="s">
        <v>7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</row>
    <row r="11" spans="1:16" hidden="1" x14ac:dyDescent="0.25">
      <c r="A11" t="s">
        <v>8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40000</v>
      </c>
    </row>
    <row r="12" spans="1:16" hidden="1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</row>
    <row r="13" spans="1:16" hidden="1" x14ac:dyDescent="0.25">
      <c r="A13" t="s">
        <v>10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55000.000000000007</v>
      </c>
    </row>
    <row r="14" spans="1:16" hidden="1" x14ac:dyDescent="0.25">
      <c r="A14" t="s">
        <v>11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6" hidden="1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6" hidden="1" x14ac:dyDescent="0.25">
      <c r="A16" t="s">
        <v>13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40000</v>
      </c>
    </row>
    <row r="17" spans="1:16" hidden="1" x14ac:dyDescent="0.25">
      <c r="A17" t="s">
        <v>14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</row>
    <row r="18" spans="1:16" ht="15.75" customHeight="1" x14ac:dyDescent="0.25">
      <c r="A18" t="s">
        <v>93</v>
      </c>
      <c r="O18" t="s">
        <v>1</v>
      </c>
      <c r="P18" s="3" t="s">
        <v>90</v>
      </c>
    </row>
    <row r="19" spans="1:16" ht="15.75" customHeight="1" x14ac:dyDescent="0.25">
      <c r="A19" t="s">
        <v>98</v>
      </c>
      <c r="B19" s="1">
        <f t="shared" ref="B19:B27" si="1">SUM(C19:N19)</f>
        <v>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6" ht="15.75" customHeight="1" x14ac:dyDescent="0.25">
      <c r="A20" t="s">
        <v>104</v>
      </c>
      <c r="B20" s="1">
        <f t="shared" si="1"/>
        <v>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6" ht="15.75" customHeight="1" x14ac:dyDescent="0.25">
      <c r="A21" t="s">
        <v>116</v>
      </c>
      <c r="B21" s="1">
        <f t="shared" si="1"/>
        <v>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6" ht="15.75" customHeight="1" x14ac:dyDescent="0.25">
      <c r="A22" t="s">
        <v>86</v>
      </c>
      <c r="B22" s="1">
        <f t="shared" si="1"/>
        <v>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6" ht="15.75" customHeight="1" x14ac:dyDescent="0.25">
      <c r="A23" t="s">
        <v>87</v>
      </c>
      <c r="B23" s="1">
        <f t="shared" si="1"/>
        <v>0</v>
      </c>
      <c r="C23" s="1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6" ht="15.75" customHeight="1" x14ac:dyDescent="0.25">
      <c r="A24" t="s">
        <v>88</v>
      </c>
      <c r="B24" s="1">
        <f t="shared" si="1"/>
        <v>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6" ht="15.75" customHeight="1" x14ac:dyDescent="0.25">
      <c r="A25" t="s">
        <v>105</v>
      </c>
      <c r="B25" s="1">
        <f t="shared" si="1"/>
        <v>0</v>
      </c>
      <c r="C25" s="1"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6" ht="15.75" customHeight="1" x14ac:dyDescent="0.25">
      <c r="A26" t="s">
        <v>106</v>
      </c>
      <c r="B26" s="1">
        <f t="shared" si="1"/>
        <v>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6" ht="15.75" customHeight="1" x14ac:dyDescent="0.25">
      <c r="A27" t="s">
        <v>107</v>
      </c>
      <c r="B27" s="4">
        <f t="shared" si="1"/>
        <v>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6" ht="15.75" customHeight="1" x14ac:dyDescent="0.25">
      <c r="A28" t="s">
        <v>94</v>
      </c>
      <c r="B28" s="19">
        <f>SUM(B23:B27)</f>
        <v>0</v>
      </c>
      <c r="C28" s="19">
        <f t="shared" ref="C28:N28" si="2">SUM(C23:C27)</f>
        <v>0</v>
      </c>
      <c r="D28" s="19">
        <f t="shared" si="2"/>
        <v>0</v>
      </c>
      <c r="E28" s="19">
        <f t="shared" si="2"/>
        <v>0</v>
      </c>
      <c r="F28" s="19">
        <f t="shared" si="2"/>
        <v>0</v>
      </c>
      <c r="G28" s="19">
        <f t="shared" si="2"/>
        <v>0</v>
      </c>
      <c r="H28" s="19">
        <f t="shared" si="2"/>
        <v>0</v>
      </c>
      <c r="I28" s="19">
        <f t="shared" si="2"/>
        <v>0</v>
      </c>
      <c r="J28" s="19">
        <f t="shared" si="2"/>
        <v>0</v>
      </c>
      <c r="K28" s="19">
        <f t="shared" si="2"/>
        <v>0</v>
      </c>
      <c r="L28" s="19">
        <f t="shared" si="2"/>
        <v>0</v>
      </c>
      <c r="M28" s="19">
        <f t="shared" si="2"/>
        <v>0</v>
      </c>
      <c r="N28" s="19">
        <f t="shared" si="2"/>
        <v>0</v>
      </c>
    </row>
    <row r="29" spans="1:16" ht="15.75" customHeight="1" x14ac:dyDescent="0.2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6" ht="15.75" customHeight="1" x14ac:dyDescent="0.25">
      <c r="A30" t="s">
        <v>96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6" ht="15.75" customHeight="1" x14ac:dyDescent="0.25">
      <c r="A31" t="s">
        <v>95</v>
      </c>
      <c r="B31" s="4">
        <f>SUM(C27:N27)</f>
        <v>0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6" ht="15.75" customHeight="1" x14ac:dyDescent="0.25">
      <c r="A32" t="s">
        <v>97</v>
      </c>
      <c r="B32" s="19">
        <f>B28-B31</f>
        <v>0</v>
      </c>
      <c r="C32" s="19">
        <f t="shared" ref="C32:N32" si="3">C28-C31</f>
        <v>0</v>
      </c>
      <c r="D32" s="19">
        <f t="shared" si="3"/>
        <v>0</v>
      </c>
      <c r="E32" s="19">
        <f t="shared" si="3"/>
        <v>0</v>
      </c>
      <c r="F32" s="19">
        <f t="shared" si="3"/>
        <v>0</v>
      </c>
      <c r="G32" s="19">
        <f t="shared" si="3"/>
        <v>0</v>
      </c>
      <c r="H32" s="19">
        <f t="shared" si="3"/>
        <v>0</v>
      </c>
      <c r="I32" s="19">
        <f t="shared" si="3"/>
        <v>0</v>
      </c>
      <c r="J32" s="19">
        <f t="shared" si="3"/>
        <v>0</v>
      </c>
      <c r="K32" s="19">
        <f t="shared" si="3"/>
        <v>0</v>
      </c>
      <c r="L32" s="19">
        <f t="shared" si="3"/>
        <v>0</v>
      </c>
      <c r="M32" s="19">
        <f t="shared" si="3"/>
        <v>0</v>
      </c>
      <c r="N32" s="19">
        <f t="shared" si="3"/>
        <v>0</v>
      </c>
    </row>
    <row r="33" spans="1:19" ht="15.75" customHeight="1" x14ac:dyDescent="0.2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9" ht="15.75" customHeight="1" x14ac:dyDescent="0.25">
      <c r="A34" t="s">
        <v>92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9" ht="15.75" customHeight="1" x14ac:dyDescent="0.25">
      <c r="A35" t="s">
        <v>21</v>
      </c>
      <c r="B35" s="1">
        <f>SUM(C35:N35)</f>
        <v>237421.87500000009</v>
      </c>
      <c r="C35" s="1">
        <f>(577500/12)-CDFI!C35-REACH!C35</f>
        <v>19083.333333333336</v>
      </c>
      <c r="D35" s="1">
        <f t="shared" ref="D35:G36" si="4">C35</f>
        <v>19083.333333333336</v>
      </c>
      <c r="E35" s="1">
        <f t="shared" si="4"/>
        <v>19083.333333333336</v>
      </c>
      <c r="F35" s="1">
        <f t="shared" si="4"/>
        <v>19083.333333333336</v>
      </c>
      <c r="G35" s="1">
        <f t="shared" si="4"/>
        <v>19083.333333333336</v>
      </c>
      <c r="H35" s="1">
        <f>((577500*1.025)/12)-CDFI!H35-REACH!H35</f>
        <v>20286.458333333336</v>
      </c>
      <c r="I35" s="1">
        <f t="shared" ref="I35:N36" si="5">H35</f>
        <v>20286.458333333336</v>
      </c>
      <c r="J35" s="1">
        <f t="shared" si="5"/>
        <v>20286.458333333336</v>
      </c>
      <c r="K35" s="1">
        <f t="shared" si="5"/>
        <v>20286.458333333336</v>
      </c>
      <c r="L35" s="1">
        <f t="shared" si="5"/>
        <v>20286.458333333336</v>
      </c>
      <c r="M35" s="1">
        <f t="shared" si="5"/>
        <v>20286.458333333336</v>
      </c>
      <c r="N35" s="1">
        <f t="shared" si="5"/>
        <v>20286.458333333336</v>
      </c>
      <c r="O35" s="1">
        <v>523950.00000000006</v>
      </c>
      <c r="P35" s="3" t="s">
        <v>1</v>
      </c>
      <c r="Q35" t="s">
        <v>1</v>
      </c>
    </row>
    <row r="36" spans="1:19" ht="15.75" customHeight="1" x14ac:dyDescent="0.25">
      <c r="A36" t="s">
        <v>23</v>
      </c>
      <c r="B36" s="1">
        <f>SUM(C36:N36)</f>
        <v>58248.541666666672</v>
      </c>
      <c r="C36" s="1">
        <f>(577500/12*0.25)-CDFI!C36-REACH!C36</f>
        <v>4678.5833333333339</v>
      </c>
      <c r="D36" s="1">
        <f t="shared" si="4"/>
        <v>4678.5833333333339</v>
      </c>
      <c r="E36" s="1">
        <f t="shared" si="4"/>
        <v>4678.5833333333339</v>
      </c>
      <c r="F36" s="1">
        <f t="shared" si="4"/>
        <v>4678.5833333333339</v>
      </c>
      <c r="G36" s="1">
        <f t="shared" si="4"/>
        <v>4678.5833333333339</v>
      </c>
      <c r="H36" s="1">
        <f>(591938/12*0.25)-CDFI!H36-REACH!H36</f>
        <v>4979.375</v>
      </c>
      <c r="I36" s="1">
        <f t="shared" si="5"/>
        <v>4979.375</v>
      </c>
      <c r="J36" s="1">
        <f t="shared" si="5"/>
        <v>4979.375</v>
      </c>
      <c r="K36" s="1">
        <f t="shared" si="5"/>
        <v>4979.375</v>
      </c>
      <c r="L36" s="1">
        <f t="shared" si="5"/>
        <v>4979.375</v>
      </c>
      <c r="M36" s="1">
        <f t="shared" si="5"/>
        <v>4979.375</v>
      </c>
      <c r="N36" s="1">
        <f t="shared" si="5"/>
        <v>4979.375</v>
      </c>
      <c r="O36" s="1">
        <v>130987.5</v>
      </c>
      <c r="P36" s="3" t="s">
        <v>1</v>
      </c>
      <c r="Q36" t="s">
        <v>1</v>
      </c>
      <c r="R36" t="s">
        <v>1</v>
      </c>
      <c r="S36" t="s">
        <v>1</v>
      </c>
    </row>
    <row r="37" spans="1:19" ht="15.75" customHeight="1" x14ac:dyDescent="0.25">
      <c r="A37" t="s">
        <v>25</v>
      </c>
      <c r="B37" s="1">
        <f>SUM(C37:N37)</f>
        <v>18000</v>
      </c>
      <c r="C37" s="1">
        <v>1500</v>
      </c>
      <c r="D37" s="1">
        <v>1500</v>
      </c>
      <c r="E37" s="1">
        <v>1500</v>
      </c>
      <c r="F37" s="1">
        <v>1500</v>
      </c>
      <c r="G37" s="1">
        <v>1500</v>
      </c>
      <c r="H37" s="1">
        <v>1500</v>
      </c>
      <c r="I37" s="1">
        <v>1500</v>
      </c>
      <c r="J37" s="1">
        <v>1500</v>
      </c>
      <c r="K37" s="1">
        <v>1500</v>
      </c>
      <c r="L37" s="1">
        <v>1500</v>
      </c>
      <c r="M37" s="1">
        <v>1500</v>
      </c>
      <c r="N37" s="1">
        <v>1500</v>
      </c>
      <c r="O37" s="1">
        <v>9000</v>
      </c>
      <c r="P37" s="15" t="s">
        <v>1</v>
      </c>
      <c r="Q37" t="s">
        <v>1</v>
      </c>
    </row>
    <row r="38" spans="1:19" ht="15.75" customHeight="1" x14ac:dyDescent="0.25">
      <c r="A38" t="s">
        <v>27</v>
      </c>
      <c r="B38" s="1">
        <f>SUM(C38:N38)</f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52395</v>
      </c>
      <c r="P38" s="3" t="s">
        <v>1</v>
      </c>
    </row>
    <row r="39" spans="1:19" ht="15.75" customHeight="1" x14ac:dyDescent="0.25">
      <c r="A39" t="s">
        <v>29</v>
      </c>
      <c r="B39" s="4">
        <f>SUM(C39:N39)</f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150000</v>
      </c>
      <c r="P39" s="3" t="s">
        <v>1</v>
      </c>
    </row>
    <row r="40" spans="1:19" ht="15.75" customHeight="1" x14ac:dyDescent="0.25">
      <c r="A40" t="s">
        <v>31</v>
      </c>
      <c r="B40" s="1">
        <f>SUM(B35:B39)</f>
        <v>313670.41666666674</v>
      </c>
      <c r="C40" s="1">
        <f>SUM(C35:C39)</f>
        <v>25261.916666666672</v>
      </c>
      <c r="D40" s="1">
        <f t="shared" ref="D40:N40" si="6">SUM(D35:D39)</f>
        <v>25261.916666666672</v>
      </c>
      <c r="E40" s="1">
        <f t="shared" si="6"/>
        <v>25261.916666666672</v>
      </c>
      <c r="F40" s="1">
        <f t="shared" si="6"/>
        <v>25261.916666666672</v>
      </c>
      <c r="G40" s="1">
        <f t="shared" si="6"/>
        <v>25261.916666666672</v>
      </c>
      <c r="H40" s="1">
        <f t="shared" si="6"/>
        <v>26765.833333333336</v>
      </c>
      <c r="I40" s="1">
        <f t="shared" si="6"/>
        <v>26765.833333333336</v>
      </c>
      <c r="J40" s="1">
        <f t="shared" si="6"/>
        <v>26765.833333333336</v>
      </c>
      <c r="K40" s="1">
        <f t="shared" si="6"/>
        <v>26765.833333333336</v>
      </c>
      <c r="L40" s="1">
        <f t="shared" si="6"/>
        <v>26765.833333333336</v>
      </c>
      <c r="M40" s="1">
        <f t="shared" si="6"/>
        <v>26765.833333333336</v>
      </c>
      <c r="N40" s="1">
        <f t="shared" si="6"/>
        <v>26765.833333333336</v>
      </c>
      <c r="O40" s="1">
        <v>866332.5</v>
      </c>
      <c r="P40" s="3" t="s">
        <v>1</v>
      </c>
    </row>
    <row r="41" spans="1:19" ht="15.7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>
        <v>0</v>
      </c>
      <c r="P41" s="3" t="s">
        <v>1</v>
      </c>
    </row>
    <row r="42" spans="1:19" ht="15.75" customHeight="1" x14ac:dyDescent="0.25">
      <c r="A42" t="s">
        <v>32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>
        <v>0</v>
      </c>
    </row>
    <row r="43" spans="1:19" ht="15.75" customHeight="1" x14ac:dyDescent="0.25">
      <c r="A43" t="s">
        <v>33</v>
      </c>
      <c r="B43" s="1">
        <f t="shared" ref="B43:B59" si="7">SUM(C43:N43)</f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9000</v>
      </c>
      <c r="P43" s="3" t="s">
        <v>1</v>
      </c>
      <c r="Q43" t="s">
        <v>1</v>
      </c>
    </row>
    <row r="44" spans="1:19" ht="15.75" customHeight="1" x14ac:dyDescent="0.25">
      <c r="A44" t="s">
        <v>35</v>
      </c>
      <c r="B44" s="1">
        <f t="shared" si="7"/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4800</v>
      </c>
      <c r="P44" s="3" t="s">
        <v>1</v>
      </c>
    </row>
    <row r="45" spans="1:19" ht="15.75" customHeight="1" x14ac:dyDescent="0.25">
      <c r="A45" t="s">
        <v>37</v>
      </c>
      <c r="B45" s="1">
        <f t="shared" si="7"/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7500</v>
      </c>
      <c r="P45" s="3" t="s">
        <v>1</v>
      </c>
    </row>
    <row r="46" spans="1:19" ht="15.75" customHeight="1" x14ac:dyDescent="0.25">
      <c r="A46" t="s">
        <v>39</v>
      </c>
      <c r="B46" s="1">
        <f t="shared" si="7"/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5400</v>
      </c>
      <c r="P46" s="3" t="s">
        <v>1</v>
      </c>
      <c r="Q46" t="s">
        <v>1</v>
      </c>
    </row>
    <row r="47" spans="1:19" ht="15.75" customHeight="1" x14ac:dyDescent="0.25">
      <c r="A47" t="s">
        <v>41</v>
      </c>
      <c r="B47" s="1">
        <f t="shared" si="7"/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600</v>
      </c>
      <c r="P47" s="3" t="s">
        <v>1</v>
      </c>
    </row>
    <row r="48" spans="1:19" ht="15.75" customHeight="1" x14ac:dyDescent="0.25">
      <c r="A48" t="s">
        <v>81</v>
      </c>
      <c r="B48" s="1">
        <f t="shared" si="7"/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7200</v>
      </c>
      <c r="P48" s="3" t="s">
        <v>1</v>
      </c>
    </row>
    <row r="49" spans="1:17" ht="15.75" customHeight="1" x14ac:dyDescent="0.25">
      <c r="A49" t="s">
        <v>45</v>
      </c>
      <c r="B49" s="1">
        <f t="shared" si="7"/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3600</v>
      </c>
      <c r="P49" s="3" t="s">
        <v>1</v>
      </c>
    </row>
    <row r="50" spans="1:17" ht="15.75" customHeight="1" x14ac:dyDescent="0.25">
      <c r="A50" t="s">
        <v>46</v>
      </c>
      <c r="B50" s="1">
        <f t="shared" si="7"/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9000</v>
      </c>
      <c r="P50" s="3" t="s">
        <v>1</v>
      </c>
    </row>
    <row r="51" spans="1:17" ht="15.75" customHeight="1" x14ac:dyDescent="0.25">
      <c r="A51" t="s">
        <v>48</v>
      </c>
      <c r="B51" s="1">
        <f t="shared" si="7"/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6000</v>
      </c>
      <c r="P51" s="3" t="s">
        <v>1</v>
      </c>
    </row>
    <row r="52" spans="1:17" ht="15.75" customHeight="1" x14ac:dyDescent="0.25">
      <c r="A52" t="s">
        <v>50</v>
      </c>
      <c r="B52" s="1">
        <f t="shared" si="7"/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17800.000000000004</v>
      </c>
      <c r="P52" s="3" t="s">
        <v>1</v>
      </c>
      <c r="Q52" t="s">
        <v>1</v>
      </c>
    </row>
    <row r="53" spans="1:17" ht="15.75" customHeight="1" x14ac:dyDescent="0.25">
      <c r="A53" t="s">
        <v>78</v>
      </c>
      <c r="B53" s="1">
        <f t="shared" si="7"/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/>
      <c r="P53" s="3" t="s">
        <v>1</v>
      </c>
    </row>
    <row r="54" spans="1:17" ht="15.75" customHeight="1" x14ac:dyDescent="0.25">
      <c r="A54" t="s">
        <v>52</v>
      </c>
      <c r="B54" s="1">
        <f t="shared" si="7"/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480</v>
      </c>
      <c r="P54" s="3" t="s">
        <v>1</v>
      </c>
    </row>
    <row r="55" spans="1:17" ht="15.75" customHeight="1" x14ac:dyDescent="0.25">
      <c r="A55" t="s">
        <v>54</v>
      </c>
      <c r="B55" s="1">
        <f t="shared" si="7"/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36000</v>
      </c>
      <c r="P55" s="3" t="s">
        <v>1</v>
      </c>
    </row>
    <row r="56" spans="1:17" ht="15.75" customHeight="1" x14ac:dyDescent="0.25">
      <c r="A56" t="s">
        <v>100</v>
      </c>
      <c r="B56" s="1">
        <f>SUM(C56:N56)</f>
        <v>48501</v>
      </c>
      <c r="C56" s="1">
        <v>0</v>
      </c>
      <c r="D56" s="1">
        <v>0</v>
      </c>
      <c r="E56" s="1">
        <v>4851</v>
      </c>
      <c r="F56" s="1">
        <v>4850</v>
      </c>
      <c r="G56" s="1">
        <v>4850</v>
      </c>
      <c r="H56" s="1">
        <v>4850</v>
      </c>
      <c r="I56" s="1">
        <v>4850</v>
      </c>
      <c r="J56" s="1">
        <v>4850</v>
      </c>
      <c r="K56" s="1">
        <v>4850</v>
      </c>
      <c r="L56" s="1">
        <v>4850</v>
      </c>
      <c r="M56" s="1">
        <v>4850</v>
      </c>
      <c r="N56" s="1">
        <v>4850</v>
      </c>
      <c r="O56" s="1"/>
    </row>
    <row r="57" spans="1:17" ht="15.75" customHeight="1" x14ac:dyDescent="0.25">
      <c r="A57" t="s">
        <v>56</v>
      </c>
      <c r="B57" s="1">
        <f t="shared" si="7"/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3780</v>
      </c>
      <c r="P57" s="3" t="s">
        <v>1</v>
      </c>
    </row>
    <row r="58" spans="1:17" ht="15.75" customHeight="1" x14ac:dyDescent="0.25">
      <c r="A58" t="s">
        <v>58</v>
      </c>
      <c r="B58" s="1">
        <f t="shared" si="7"/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3" t="s">
        <v>1</v>
      </c>
    </row>
    <row r="59" spans="1:17" ht="15.75" customHeight="1" x14ac:dyDescent="0.25">
      <c r="A59" t="s">
        <v>60</v>
      </c>
      <c r="B59" s="4">
        <f t="shared" si="7"/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-280131</v>
      </c>
    </row>
    <row r="60" spans="1:17" ht="15.75" customHeight="1" x14ac:dyDescent="0.25">
      <c r="A60" t="s">
        <v>31</v>
      </c>
      <c r="B60" s="1">
        <f>SUM(B43:B59)</f>
        <v>48501</v>
      </c>
      <c r="C60" s="1">
        <f>SUM(C43:C59)</f>
        <v>0</v>
      </c>
      <c r="D60" s="1">
        <f t="shared" ref="D60:N60" si="8">SUM(D43:D59)</f>
        <v>0</v>
      </c>
      <c r="E60" s="1">
        <f t="shared" si="8"/>
        <v>4851</v>
      </c>
      <c r="F60" s="1">
        <f t="shared" si="8"/>
        <v>4850</v>
      </c>
      <c r="G60" s="1">
        <f t="shared" si="8"/>
        <v>4850</v>
      </c>
      <c r="H60" s="1">
        <f t="shared" si="8"/>
        <v>4850</v>
      </c>
      <c r="I60" s="1">
        <f t="shared" si="8"/>
        <v>4850</v>
      </c>
      <c r="J60" s="1">
        <f t="shared" si="8"/>
        <v>4850</v>
      </c>
      <c r="K60" s="1">
        <f t="shared" si="8"/>
        <v>4850</v>
      </c>
      <c r="L60" s="1">
        <f t="shared" si="8"/>
        <v>4850</v>
      </c>
      <c r="M60" s="1">
        <f t="shared" si="8"/>
        <v>4850</v>
      </c>
      <c r="N60" s="1">
        <f t="shared" si="8"/>
        <v>4850</v>
      </c>
      <c r="O60" s="1">
        <v>-144971</v>
      </c>
    </row>
    <row r="61" spans="1:17" ht="15.7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>
        <v>0</v>
      </c>
    </row>
    <row r="62" spans="1:17" ht="15.75" customHeight="1" x14ac:dyDescent="0.25">
      <c r="A62" t="s">
        <v>102</v>
      </c>
      <c r="B62" s="4">
        <f>SUM(C62:N62)</f>
        <v>362171.41666666669</v>
      </c>
      <c r="C62" s="4">
        <f t="shared" ref="C62:N62" si="9">C40+C60</f>
        <v>25261.916666666672</v>
      </c>
      <c r="D62" s="4">
        <f t="shared" si="9"/>
        <v>25261.916666666672</v>
      </c>
      <c r="E62" s="4">
        <f t="shared" si="9"/>
        <v>30112.916666666672</v>
      </c>
      <c r="F62" s="4">
        <f t="shared" si="9"/>
        <v>30111.916666666672</v>
      </c>
      <c r="G62" s="4">
        <f t="shared" si="9"/>
        <v>30111.916666666672</v>
      </c>
      <c r="H62" s="4">
        <f t="shared" si="9"/>
        <v>31615.833333333336</v>
      </c>
      <c r="I62" s="4">
        <f t="shared" si="9"/>
        <v>31615.833333333336</v>
      </c>
      <c r="J62" s="4">
        <f t="shared" si="9"/>
        <v>31615.833333333336</v>
      </c>
      <c r="K62" s="4">
        <f t="shared" si="9"/>
        <v>31615.833333333336</v>
      </c>
      <c r="L62" s="4">
        <f t="shared" si="9"/>
        <v>31615.833333333336</v>
      </c>
      <c r="M62" s="4">
        <f t="shared" si="9"/>
        <v>31615.833333333336</v>
      </c>
      <c r="N62" s="4">
        <f t="shared" si="9"/>
        <v>31615.833333333336</v>
      </c>
      <c r="O62" s="1"/>
    </row>
    <row r="63" spans="1:17" ht="15.7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7" ht="15.75" customHeight="1" x14ac:dyDescent="0.25">
      <c r="A64" t="s">
        <v>1</v>
      </c>
      <c r="B64" s="1" t="s">
        <v>1</v>
      </c>
      <c r="C64" s="1" t="s">
        <v>1</v>
      </c>
      <c r="D64" s="1" t="s">
        <v>1</v>
      </c>
      <c r="E64" s="1" t="s">
        <v>1</v>
      </c>
      <c r="F64" s="1" t="s">
        <v>1</v>
      </c>
      <c r="G64" s="1" t="s">
        <v>1</v>
      </c>
      <c r="H64" s="1" t="s">
        <v>1</v>
      </c>
      <c r="I64" s="1" t="s">
        <v>1</v>
      </c>
      <c r="J64" s="1" t="s">
        <v>1</v>
      </c>
      <c r="K64" s="1" t="s">
        <v>1</v>
      </c>
      <c r="L64" s="1" t="s">
        <v>1</v>
      </c>
      <c r="M64" s="1" t="s">
        <v>1</v>
      </c>
      <c r="N64" s="1" t="s">
        <v>1</v>
      </c>
      <c r="O64" s="1">
        <f>SUM(C64:N64)</f>
        <v>0</v>
      </c>
    </row>
    <row r="65" spans="1:15" ht="15.75" customHeight="1" x14ac:dyDescent="0.25">
      <c r="A65" t="s">
        <v>1</v>
      </c>
      <c r="B65" s="1" t="s">
        <v>1</v>
      </c>
      <c r="C65" s="1" t="s">
        <v>1</v>
      </c>
      <c r="D65" s="1" t="s">
        <v>1</v>
      </c>
      <c r="E65" s="1" t="s">
        <v>1</v>
      </c>
      <c r="F65" s="1" t="s">
        <v>1</v>
      </c>
      <c r="G65" s="1" t="s">
        <v>1</v>
      </c>
      <c r="H65" s="1" t="s">
        <v>1</v>
      </c>
      <c r="I65" s="1" t="s">
        <v>1</v>
      </c>
      <c r="J65" s="1" t="str">
        <f>J64</f>
        <v xml:space="preserve"> </v>
      </c>
      <c r="K65" s="1" t="s">
        <v>1</v>
      </c>
      <c r="L65" s="1" t="s">
        <v>1</v>
      </c>
      <c r="M65" s="1" t="s">
        <v>1</v>
      </c>
      <c r="N65" s="1" t="s">
        <v>1</v>
      </c>
      <c r="O65" s="1" t="s">
        <v>1</v>
      </c>
    </row>
    <row r="66" spans="1:15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5" x14ac:dyDescent="0.2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5" ht="15.75" thickBot="1" x14ac:dyDescent="0.3">
      <c r="A68" t="s">
        <v>101</v>
      </c>
      <c r="B68" s="22">
        <f>B32-B62</f>
        <v>-362171.41666666669</v>
      </c>
      <c r="C68" s="22">
        <f>B32-C62</f>
        <v>-25261.916666666672</v>
      </c>
      <c r="D68" s="22">
        <f t="shared" ref="D68:N68" si="10">C68-D62</f>
        <v>-50523.833333333343</v>
      </c>
      <c r="E68" s="22">
        <f t="shared" si="10"/>
        <v>-80636.750000000015</v>
      </c>
      <c r="F68" s="22">
        <f t="shared" si="10"/>
        <v>-110748.66666666669</v>
      </c>
      <c r="G68" s="22">
        <f t="shared" si="10"/>
        <v>-140860.58333333337</v>
      </c>
      <c r="H68" s="22">
        <f t="shared" si="10"/>
        <v>-172476.41666666672</v>
      </c>
      <c r="I68" s="22">
        <f t="shared" si="10"/>
        <v>-204092.25000000006</v>
      </c>
      <c r="J68" s="22">
        <f t="shared" si="10"/>
        <v>-235708.0833333334</v>
      </c>
      <c r="K68" s="22">
        <f t="shared" si="10"/>
        <v>-267323.91666666674</v>
      </c>
      <c r="L68" s="22">
        <f t="shared" si="10"/>
        <v>-298939.75000000006</v>
      </c>
      <c r="M68" s="22">
        <f t="shared" si="10"/>
        <v>-330555.58333333337</v>
      </c>
      <c r="N68" s="22">
        <f t="shared" si="10"/>
        <v>-362171.41666666669</v>
      </c>
    </row>
    <row r="69" spans="1:15" ht="15.75" thickTop="1" x14ac:dyDescent="0.25"/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"/>
  <sheetViews>
    <sheetView tabSelected="1" zoomScaleNormal="100" workbookViewId="0">
      <selection activeCell="A2" sqref="A2:T2"/>
    </sheetView>
  </sheetViews>
  <sheetFormatPr defaultRowHeight="15" x14ac:dyDescent="0.25"/>
  <cols>
    <col min="1" max="1" width="40.42578125" customWidth="1"/>
    <col min="2" max="2" width="2.85546875" style="20" customWidth="1"/>
    <col min="3" max="4" width="12.5703125" hidden="1" customWidth="1"/>
    <col min="5" max="5" width="15.85546875" hidden="1" customWidth="1"/>
    <col min="6" max="6" width="15.5703125" style="82" hidden="1" customWidth="1"/>
    <col min="7" max="11" width="12.5703125" hidden="1" customWidth="1"/>
    <col min="12" max="20" width="12.5703125" customWidth="1"/>
    <col min="21" max="21" width="12.5703125" hidden="1" customWidth="1"/>
  </cols>
  <sheetData>
    <row r="1" spans="1:21" x14ac:dyDescent="0.25">
      <c r="A1" s="96" t="s">
        <v>287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1" x14ac:dyDescent="0.25">
      <c r="A2" s="96" t="s">
        <v>284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1" x14ac:dyDescent="0.25">
      <c r="A3" s="88"/>
      <c r="B3" s="89"/>
      <c r="C3" s="90"/>
      <c r="D3" s="90"/>
      <c r="E3" s="90"/>
      <c r="F3" s="91"/>
      <c r="G3" s="90"/>
      <c r="H3" s="90"/>
      <c r="I3" s="90"/>
      <c r="J3" s="90"/>
      <c r="K3" s="90"/>
      <c r="L3" s="90"/>
      <c r="M3" s="90"/>
      <c r="N3" s="90"/>
      <c r="O3" s="90"/>
    </row>
    <row r="4" spans="1:21" ht="15.75" x14ac:dyDescent="0.25">
      <c r="A4" s="71" t="s">
        <v>1</v>
      </c>
      <c r="B4" s="76"/>
      <c r="C4" s="94" t="s">
        <v>76</v>
      </c>
      <c r="D4" s="94" t="s">
        <v>248</v>
      </c>
      <c r="E4" s="94" t="s">
        <v>249</v>
      </c>
      <c r="F4" s="94" t="s">
        <v>250</v>
      </c>
      <c r="G4" s="94" t="s">
        <v>251</v>
      </c>
      <c r="H4" s="94" t="s">
        <v>253</v>
      </c>
      <c r="I4" s="94" t="s">
        <v>71</v>
      </c>
      <c r="J4" s="94" t="s">
        <v>245</v>
      </c>
      <c r="K4" s="94" t="s">
        <v>246</v>
      </c>
      <c r="L4" s="94" t="s">
        <v>247</v>
      </c>
      <c r="M4" s="94" t="s">
        <v>73</v>
      </c>
      <c r="N4" s="94" t="s">
        <v>75</v>
      </c>
      <c r="O4" s="94" t="s">
        <v>76</v>
      </c>
      <c r="P4" s="94" t="s">
        <v>248</v>
      </c>
      <c r="Q4" s="94" t="s">
        <v>249</v>
      </c>
      <c r="R4" s="94" t="s">
        <v>250</v>
      </c>
      <c r="S4" s="94" t="s">
        <v>251</v>
      </c>
      <c r="T4" s="94" t="s">
        <v>253</v>
      </c>
      <c r="U4" s="94" t="s">
        <v>71</v>
      </c>
    </row>
    <row r="5" spans="1:21" x14ac:dyDescent="0.25">
      <c r="A5" s="71" t="s">
        <v>258</v>
      </c>
      <c r="B5" s="19"/>
      <c r="C5" s="77">
        <f>5952053.65+21796.9-836335</f>
        <v>5137515.5500000007</v>
      </c>
      <c r="D5" s="77">
        <v>6231660.8600000003</v>
      </c>
      <c r="E5" s="77">
        <v>7676331</v>
      </c>
      <c r="F5" s="77">
        <v>7460102</v>
      </c>
      <c r="G5" s="77">
        <v>9134619</v>
      </c>
      <c r="H5" s="77">
        <v>8405678</v>
      </c>
      <c r="I5" s="77">
        <v>8127220</v>
      </c>
      <c r="J5" s="77">
        <v>7728761</v>
      </c>
      <c r="K5" s="77">
        <f>8200000+59930+31703</f>
        <v>8291633</v>
      </c>
      <c r="L5" s="77">
        <f>8400000+10388</f>
        <v>8410388</v>
      </c>
      <c r="M5" s="77">
        <f>8801914+135740</f>
        <v>8937654</v>
      </c>
      <c r="N5" s="77">
        <f>8000000-80846</f>
        <v>7919154</v>
      </c>
      <c r="O5" s="77">
        <f>9300000-13846</f>
        <v>9286154</v>
      </c>
      <c r="P5" s="77">
        <f>9250000-79595</f>
        <v>9170405</v>
      </c>
      <c r="Q5" s="77">
        <f>8350000+50045+9360</f>
        <v>8409405</v>
      </c>
      <c r="R5" s="77">
        <f>7820000+13405-400000+1000000</f>
        <v>8433405</v>
      </c>
      <c r="S5" s="77">
        <f>8100000-10345</f>
        <v>8089655</v>
      </c>
      <c r="T5" s="77">
        <f>7300000+19655</f>
        <v>7319655</v>
      </c>
      <c r="U5" s="77">
        <f>6800000+279655+1000000</f>
        <v>8079655</v>
      </c>
    </row>
    <row r="6" spans="1:21" hidden="1" x14ac:dyDescent="0.25">
      <c r="A6" s="71" t="s">
        <v>276</v>
      </c>
      <c r="B6" s="19"/>
      <c r="C6" s="73">
        <v>0</v>
      </c>
      <c r="D6" s="73">
        <v>0</v>
      </c>
      <c r="E6" s="73">
        <v>0</v>
      </c>
      <c r="F6" s="73">
        <f t="shared" ref="F6:O6" si="0">+E39+E40+E6</f>
        <v>0</v>
      </c>
      <c r="G6" s="73">
        <f t="shared" si="0"/>
        <v>0</v>
      </c>
      <c r="H6" s="73">
        <f t="shared" si="0"/>
        <v>0</v>
      </c>
      <c r="I6" s="73">
        <f t="shared" si="0"/>
        <v>0</v>
      </c>
      <c r="J6" s="73">
        <f t="shared" si="0"/>
        <v>0</v>
      </c>
      <c r="K6" s="73">
        <f t="shared" si="0"/>
        <v>0</v>
      </c>
      <c r="L6" s="73">
        <f t="shared" si="0"/>
        <v>0</v>
      </c>
      <c r="M6" s="73">
        <f t="shared" si="0"/>
        <v>0</v>
      </c>
      <c r="N6" s="73">
        <f t="shared" si="0"/>
        <v>0</v>
      </c>
      <c r="O6" s="73">
        <f t="shared" si="0"/>
        <v>0</v>
      </c>
      <c r="P6" s="73">
        <f t="shared" ref="P6:U6" si="1">+O39+O40+O6</f>
        <v>0</v>
      </c>
      <c r="Q6" s="73">
        <f t="shared" si="1"/>
        <v>0</v>
      </c>
      <c r="R6" s="73">
        <f t="shared" si="1"/>
        <v>0</v>
      </c>
      <c r="S6" s="73">
        <f t="shared" si="1"/>
        <v>0</v>
      </c>
      <c r="T6" s="73">
        <f t="shared" si="1"/>
        <v>0</v>
      </c>
      <c r="U6" s="73">
        <f t="shared" si="1"/>
        <v>0</v>
      </c>
    </row>
    <row r="7" spans="1:21" x14ac:dyDescent="0.25">
      <c r="A7" s="71" t="s">
        <v>272</v>
      </c>
      <c r="B7" s="19"/>
      <c r="C7" s="73">
        <v>0</v>
      </c>
      <c r="D7" s="73">
        <v>0</v>
      </c>
      <c r="E7" s="73">
        <f>(D7-(D53*(12/10.5)))</f>
        <v>0</v>
      </c>
      <c r="F7" s="73">
        <f>+E7+E17</f>
        <v>288000</v>
      </c>
      <c r="G7" s="73">
        <f>(F7-(F53*(12/10.5)))</f>
        <v>180000</v>
      </c>
      <c r="H7" s="73">
        <v>252000</v>
      </c>
      <c r="I7" s="73">
        <f t="shared" ref="I7:O7" si="2">(H7-(H53*(12/10.5)))</f>
        <v>84000</v>
      </c>
      <c r="J7" s="73">
        <v>24000</v>
      </c>
      <c r="K7" s="73">
        <v>48000</v>
      </c>
      <c r="L7" s="73">
        <f t="shared" si="2"/>
        <v>0</v>
      </c>
      <c r="M7" s="73">
        <f t="shared" si="2"/>
        <v>0</v>
      </c>
      <c r="N7" s="73">
        <f t="shared" si="2"/>
        <v>0</v>
      </c>
      <c r="O7" s="73">
        <f t="shared" si="2"/>
        <v>0</v>
      </c>
      <c r="P7" s="73">
        <f t="shared" ref="P7:U7" si="3">(O7-(O53*(12/10.5)))</f>
        <v>0</v>
      </c>
      <c r="Q7" s="73">
        <f t="shared" si="3"/>
        <v>0</v>
      </c>
      <c r="R7" s="73">
        <f t="shared" si="3"/>
        <v>0</v>
      </c>
      <c r="S7" s="73">
        <f t="shared" si="3"/>
        <v>0</v>
      </c>
      <c r="T7" s="73">
        <f t="shared" si="3"/>
        <v>0</v>
      </c>
      <c r="U7" s="73">
        <f t="shared" si="3"/>
        <v>0</v>
      </c>
    </row>
    <row r="8" spans="1:21" x14ac:dyDescent="0.25">
      <c r="A8" s="71" t="s">
        <v>259</v>
      </c>
      <c r="B8" s="19"/>
      <c r="C8" s="73">
        <v>836335</v>
      </c>
      <c r="D8" s="73">
        <v>322421</v>
      </c>
      <c r="E8" s="73">
        <v>322421</v>
      </c>
      <c r="F8" s="73">
        <f>+E8</f>
        <v>322421</v>
      </c>
      <c r="G8" s="73">
        <f>+F8+F17</f>
        <v>322421</v>
      </c>
      <c r="H8" s="73">
        <f>+G8</f>
        <v>322421</v>
      </c>
      <c r="I8" s="73">
        <v>950000</v>
      </c>
      <c r="J8" s="73">
        <f>+I8</f>
        <v>950000</v>
      </c>
      <c r="K8" s="73">
        <f>+J8</f>
        <v>950000</v>
      </c>
      <c r="L8" s="73">
        <f>+K8</f>
        <v>950000</v>
      </c>
      <c r="M8" s="73">
        <f>+L8-350000</f>
        <v>600000</v>
      </c>
      <c r="N8" s="73">
        <f>+M8</f>
        <v>600000</v>
      </c>
      <c r="O8" s="73">
        <f>+N8-125000</f>
        <v>475000</v>
      </c>
      <c r="P8" s="73">
        <f t="shared" ref="P8:U8" si="4">+O8</f>
        <v>475000</v>
      </c>
      <c r="Q8" s="73">
        <f t="shared" si="4"/>
        <v>475000</v>
      </c>
      <c r="R8" s="73">
        <f t="shared" si="4"/>
        <v>475000</v>
      </c>
      <c r="S8" s="73">
        <f t="shared" si="4"/>
        <v>475000</v>
      </c>
      <c r="T8" s="73">
        <f t="shared" si="4"/>
        <v>475000</v>
      </c>
      <c r="U8" s="73">
        <f t="shared" si="4"/>
        <v>475000</v>
      </c>
    </row>
    <row r="9" spans="1:21" ht="15.75" customHeight="1" x14ac:dyDescent="0.25">
      <c r="A9" s="71" t="s">
        <v>236</v>
      </c>
      <c r="B9" s="19"/>
      <c r="C9" s="73">
        <f>+C8</f>
        <v>836335</v>
      </c>
      <c r="D9" s="73">
        <f t="shared" ref="D9:F9" si="5">+D8</f>
        <v>322421</v>
      </c>
      <c r="E9" s="73">
        <v>322421</v>
      </c>
      <c r="F9" s="73">
        <f t="shared" si="5"/>
        <v>322421</v>
      </c>
      <c r="G9" s="73">
        <f t="shared" ref="G9:H9" si="6">+G8</f>
        <v>322421</v>
      </c>
      <c r="H9" s="73">
        <f t="shared" si="6"/>
        <v>322421</v>
      </c>
      <c r="I9" s="73">
        <f t="shared" ref="I9:J9" si="7">+I8</f>
        <v>950000</v>
      </c>
      <c r="J9" s="73">
        <f t="shared" si="7"/>
        <v>950000</v>
      </c>
      <c r="K9" s="73">
        <f t="shared" ref="K9:L9" si="8">+K8</f>
        <v>950000</v>
      </c>
      <c r="L9" s="73">
        <f t="shared" si="8"/>
        <v>950000</v>
      </c>
      <c r="M9" s="73">
        <f t="shared" ref="M9:N9" si="9">+M8</f>
        <v>600000</v>
      </c>
      <c r="N9" s="73">
        <f t="shared" si="9"/>
        <v>600000</v>
      </c>
      <c r="O9" s="73">
        <f t="shared" ref="O9:P9" si="10">+O8</f>
        <v>475000</v>
      </c>
      <c r="P9" s="73">
        <f t="shared" si="10"/>
        <v>475000</v>
      </c>
      <c r="Q9" s="73">
        <f t="shared" ref="Q9:R9" si="11">+Q8</f>
        <v>475000</v>
      </c>
      <c r="R9" s="73">
        <f t="shared" si="11"/>
        <v>475000</v>
      </c>
      <c r="S9" s="73">
        <f t="shared" ref="S9:T9" si="12">+S8</f>
        <v>475000</v>
      </c>
      <c r="T9" s="73">
        <f t="shared" si="12"/>
        <v>475000</v>
      </c>
      <c r="U9" s="73">
        <f t="shared" ref="U9" si="13">+U8</f>
        <v>475000</v>
      </c>
    </row>
    <row r="10" spans="1:21" ht="17.25" customHeight="1" x14ac:dyDescent="0.25">
      <c r="A10" s="71" t="s">
        <v>281</v>
      </c>
      <c r="B10" s="19"/>
      <c r="C10" s="73">
        <f>1501990.38+3040705.48</f>
        <v>4542695.8599999994</v>
      </c>
      <c r="D10" s="73">
        <f>3044079.41+1502592.15</f>
        <v>4546671.5600000005</v>
      </c>
      <c r="E10" s="73">
        <f>1500000+1503195</f>
        <v>3003195</v>
      </c>
      <c r="F10" s="73">
        <f>1500000+1503735.74</f>
        <v>3003735.74</v>
      </c>
      <c r="G10" s="73">
        <f>1500000+1504338.95</f>
        <v>3004338.95</v>
      </c>
      <c r="H10" s="73">
        <v>3014168</v>
      </c>
      <c r="I10" s="73">
        <f>1509247+1505525</f>
        <v>3014772</v>
      </c>
      <c r="J10" s="73">
        <v>3015355</v>
      </c>
      <c r="K10" s="73">
        <v>3025367</v>
      </c>
      <c r="L10" s="73">
        <f>+K10+3000</f>
        <v>3028367</v>
      </c>
      <c r="M10" s="73">
        <f t="shared" ref="M10:T10" si="14">+L10+3000</f>
        <v>3031367</v>
      </c>
      <c r="N10" s="73">
        <f t="shared" si="14"/>
        <v>3034367</v>
      </c>
      <c r="O10" s="73">
        <f t="shared" si="14"/>
        <v>3037367</v>
      </c>
      <c r="P10" s="73">
        <f t="shared" si="14"/>
        <v>3040367</v>
      </c>
      <c r="Q10" s="73">
        <f t="shared" si="14"/>
        <v>3043367</v>
      </c>
      <c r="R10" s="73">
        <f t="shared" si="14"/>
        <v>3046367</v>
      </c>
      <c r="S10" s="73">
        <f t="shared" si="14"/>
        <v>3049367</v>
      </c>
      <c r="T10" s="73">
        <f t="shared" si="14"/>
        <v>3052367</v>
      </c>
      <c r="U10" s="73">
        <f t="shared" ref="U10" si="15">+T10+3000</f>
        <v>3055367</v>
      </c>
    </row>
    <row r="11" spans="1:21" ht="17.25" customHeight="1" x14ac:dyDescent="0.25">
      <c r="A11" s="71" t="s">
        <v>271</v>
      </c>
      <c r="B11" s="19"/>
      <c r="C11" s="42">
        <f>34876+44171+75000+180167+78275+24975</f>
        <v>437464</v>
      </c>
      <c r="D11" s="42">
        <f>37500+43383.21+75000+186563.47+55904.2+24977.26</f>
        <v>423328.14</v>
      </c>
      <c r="E11" s="42">
        <f>37500+45145+75000+218857+46904+25004</f>
        <v>448410</v>
      </c>
      <c r="F11" s="42">
        <f>37500+46907.11+75000+230371.92+32249.91+25006.3</f>
        <v>447035.24</v>
      </c>
      <c r="G11" s="42">
        <v>449966</v>
      </c>
      <c r="H11" s="42">
        <v>465363</v>
      </c>
      <c r="I11" s="42">
        <v>516942</v>
      </c>
      <c r="J11" s="42">
        <v>494275</v>
      </c>
      <c r="K11" s="42">
        <v>766703</v>
      </c>
      <c r="L11" s="42">
        <v>810000</v>
      </c>
      <c r="M11" s="42">
        <v>830000</v>
      </c>
      <c r="N11" s="42">
        <v>850000</v>
      </c>
      <c r="O11" s="42">
        <v>870000</v>
      </c>
      <c r="P11" s="42">
        <v>400000</v>
      </c>
      <c r="Q11" s="42">
        <v>440000</v>
      </c>
      <c r="R11" s="42">
        <v>470000</v>
      </c>
      <c r="S11" s="42">
        <v>500000</v>
      </c>
      <c r="T11" s="42">
        <v>530000</v>
      </c>
      <c r="U11" s="42">
        <v>530000</v>
      </c>
    </row>
    <row r="12" spans="1:21" ht="17.25" customHeight="1" x14ac:dyDescent="0.25">
      <c r="A12" s="93" t="s">
        <v>264</v>
      </c>
      <c r="B12" s="19"/>
      <c r="C12" s="73">
        <f t="shared" ref="C12:P12" si="16">SUM(C5:C11)</f>
        <v>11790345.41</v>
      </c>
      <c r="D12" s="73">
        <f t="shared" si="16"/>
        <v>11846502.560000002</v>
      </c>
      <c r="E12" s="73">
        <f t="shared" si="16"/>
        <v>11772778</v>
      </c>
      <c r="F12" s="73">
        <f t="shared" si="16"/>
        <v>11843714.98</v>
      </c>
      <c r="G12" s="73">
        <f t="shared" si="16"/>
        <v>13413765.949999999</v>
      </c>
      <c r="H12" s="73">
        <f t="shared" si="16"/>
        <v>12782051</v>
      </c>
      <c r="I12" s="73">
        <f t="shared" si="16"/>
        <v>13642934</v>
      </c>
      <c r="J12" s="73">
        <f t="shared" si="16"/>
        <v>13162391</v>
      </c>
      <c r="K12" s="73">
        <f t="shared" si="16"/>
        <v>14031703</v>
      </c>
      <c r="L12" s="73">
        <f t="shared" si="16"/>
        <v>14148755</v>
      </c>
      <c r="M12" s="73">
        <f t="shared" si="16"/>
        <v>13999021</v>
      </c>
      <c r="N12" s="73">
        <f t="shared" si="16"/>
        <v>13003521</v>
      </c>
      <c r="O12" s="73">
        <f t="shared" si="16"/>
        <v>14143521</v>
      </c>
      <c r="P12" s="73">
        <f t="shared" si="16"/>
        <v>13560772</v>
      </c>
      <c r="Q12" s="73">
        <f t="shared" ref="Q12:R12" si="17">SUM(Q5:Q11)</f>
        <v>12842772</v>
      </c>
      <c r="R12" s="73">
        <f t="shared" si="17"/>
        <v>12899772</v>
      </c>
      <c r="S12" s="73">
        <f t="shared" ref="S12:T12" si="18">SUM(S5:S11)</f>
        <v>12589022</v>
      </c>
      <c r="T12" s="73">
        <f t="shared" si="18"/>
        <v>11852022</v>
      </c>
      <c r="U12" s="73">
        <f t="shared" ref="U12" si="19">SUM(U5:U11)</f>
        <v>12615022</v>
      </c>
    </row>
    <row r="13" spans="1:21" x14ac:dyDescent="0.25">
      <c r="A13" s="71"/>
      <c r="B13" s="19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</row>
    <row r="14" spans="1:21" hidden="1" x14ac:dyDescent="0.25">
      <c r="A14" s="71" t="s">
        <v>237</v>
      </c>
      <c r="B14" s="19"/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</row>
    <row r="15" spans="1:21" x14ac:dyDescent="0.25">
      <c r="A15" s="71" t="s">
        <v>268</v>
      </c>
      <c r="B15" s="19"/>
      <c r="C15" s="73">
        <v>319313</v>
      </c>
      <c r="D15" s="73">
        <f>115496+7020-2039</f>
        <v>120477</v>
      </c>
      <c r="E15" s="73">
        <v>111000</v>
      </c>
      <c r="F15" s="73">
        <v>118880</v>
      </c>
      <c r="G15" s="73">
        <v>333835</v>
      </c>
      <c r="H15" s="73">
        <v>229900</v>
      </c>
      <c r="I15" s="73">
        <f>127000+81860</f>
        <v>208860</v>
      </c>
      <c r="J15" s="73">
        <v>598859</v>
      </c>
      <c r="K15" s="73">
        <f>282016</f>
        <v>282016</v>
      </c>
      <c r="L15" s="73">
        <v>282016</v>
      </c>
      <c r="M15" s="73">
        <v>140000</v>
      </c>
      <c r="N15" s="73">
        <v>145000</v>
      </c>
      <c r="O15" s="73">
        <v>145000</v>
      </c>
      <c r="P15" s="73">
        <v>150000</v>
      </c>
      <c r="Q15" s="73">
        <v>150000</v>
      </c>
      <c r="R15" s="73">
        <v>155000</v>
      </c>
      <c r="S15" s="73">
        <v>155000</v>
      </c>
      <c r="T15" s="73">
        <v>155000</v>
      </c>
      <c r="U15" s="73">
        <v>155000</v>
      </c>
    </row>
    <row r="16" spans="1:21" x14ac:dyDescent="0.25">
      <c r="A16" s="71" t="s">
        <v>255</v>
      </c>
      <c r="B16" s="19"/>
      <c r="C16" s="73">
        <f>500000</f>
        <v>500000</v>
      </c>
      <c r="D16" s="73">
        <v>0</v>
      </c>
      <c r="E16" s="73">
        <v>0</v>
      </c>
      <c r="F16" s="73">
        <v>2000000</v>
      </c>
      <c r="G16" s="73">
        <v>419828</v>
      </c>
      <c r="H16" s="73">
        <f>73463+134033</f>
        <v>207496</v>
      </c>
      <c r="I16" s="73">
        <v>81860</v>
      </c>
      <c r="J16" s="73">
        <f>1000000+136701</f>
        <v>1136701</v>
      </c>
      <c r="K16" s="73">
        <v>363325</v>
      </c>
      <c r="L16" s="73">
        <v>1000000</v>
      </c>
      <c r="M16" s="73">
        <v>0</v>
      </c>
      <c r="N16" s="73">
        <v>2000000</v>
      </c>
      <c r="O16" s="73">
        <v>0</v>
      </c>
      <c r="P16" s="73">
        <v>0</v>
      </c>
      <c r="Q16" s="73">
        <v>1000000</v>
      </c>
      <c r="R16" s="73">
        <v>0</v>
      </c>
      <c r="S16" s="73">
        <v>0</v>
      </c>
      <c r="T16" s="73">
        <v>1000000</v>
      </c>
      <c r="U16" s="73"/>
    </row>
    <row r="17" spans="1:21" x14ac:dyDescent="0.25">
      <c r="A17" s="71" t="s">
        <v>238</v>
      </c>
      <c r="B17" s="19"/>
      <c r="C17" s="73">
        <v>0</v>
      </c>
      <c r="D17" s="73">
        <v>42661</v>
      </c>
      <c r="E17" s="73">
        <v>288000</v>
      </c>
      <c r="F17" s="73">
        <v>0</v>
      </c>
      <c r="G17" s="73">
        <f>192000+52703</f>
        <v>244703</v>
      </c>
      <c r="H17" s="73">
        <f>950000</f>
        <v>950000</v>
      </c>
      <c r="I17" s="73">
        <v>0</v>
      </c>
      <c r="J17" s="73">
        <v>84000</v>
      </c>
      <c r="K17" s="73">
        <v>0</v>
      </c>
      <c r="L17" s="73">
        <v>35000</v>
      </c>
      <c r="M17" s="73">
        <v>0</v>
      </c>
      <c r="N17" s="73">
        <v>0</v>
      </c>
      <c r="O17" s="73">
        <v>25000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</row>
    <row r="18" spans="1:21" x14ac:dyDescent="0.25">
      <c r="A18" s="71" t="s">
        <v>263</v>
      </c>
      <c r="B18" s="19"/>
      <c r="C18" s="73">
        <v>266105</v>
      </c>
      <c r="D18" s="73">
        <v>196127</v>
      </c>
      <c r="E18" s="73">
        <f>81345.8</f>
        <v>81345.8</v>
      </c>
      <c r="F18" s="73">
        <f>89330+99969.8+81523.53</f>
        <v>270823.32999999996</v>
      </c>
      <c r="G18" s="73">
        <v>191036</v>
      </c>
      <c r="H18" s="73">
        <f>192449+73463</f>
        <v>265912</v>
      </c>
      <c r="I18" s="73">
        <v>81860</v>
      </c>
      <c r="J18" s="73">
        <v>0</v>
      </c>
      <c r="K18" s="73">
        <v>136701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</row>
    <row r="19" spans="1:21" x14ac:dyDescent="0.25">
      <c r="A19" s="71" t="s">
        <v>269</v>
      </c>
      <c r="B19" s="19"/>
      <c r="C19" s="73">
        <f>36750+8500+3778+5000</f>
        <v>54028</v>
      </c>
      <c r="D19" s="73">
        <v>0</v>
      </c>
      <c r="E19" s="73">
        <v>0</v>
      </c>
      <c r="F19" s="73">
        <f>10625+12500</f>
        <v>23125</v>
      </c>
      <c r="G19" s="73">
        <v>0</v>
      </c>
      <c r="H19" s="73">
        <f>525000+286458</f>
        <v>811458</v>
      </c>
      <c r="I19" s="73">
        <f>10625+12688+2417</f>
        <v>25730</v>
      </c>
      <c r="J19" s="73">
        <v>0</v>
      </c>
      <c r="K19" s="73">
        <v>0</v>
      </c>
      <c r="L19" s="73">
        <f>10625+13125+2500</f>
        <v>26250</v>
      </c>
      <c r="M19" s="73">
        <v>0</v>
      </c>
      <c r="N19" s="73">
        <v>0</v>
      </c>
      <c r="O19" s="73">
        <f>10625+13125+2500</f>
        <v>26250</v>
      </c>
      <c r="P19" s="73">
        <v>0</v>
      </c>
      <c r="Q19" s="73">
        <v>0</v>
      </c>
      <c r="R19" s="73">
        <v>26250</v>
      </c>
      <c r="S19" s="73">
        <v>0</v>
      </c>
      <c r="T19" s="73">
        <v>0</v>
      </c>
      <c r="U19" s="73">
        <v>0</v>
      </c>
    </row>
    <row r="20" spans="1:21" x14ac:dyDescent="0.25">
      <c r="A20" s="71" t="s">
        <v>267</v>
      </c>
      <c r="B20" s="19"/>
      <c r="C20" s="73">
        <v>50000</v>
      </c>
      <c r="D20" s="73">
        <f>90315+490</f>
        <v>90805</v>
      </c>
      <c r="E20" s="73">
        <f>11708+3184+177+21119+27864+190</f>
        <v>64242</v>
      </c>
      <c r="F20" s="73">
        <v>70610</v>
      </c>
      <c r="G20" s="73">
        <v>66020</v>
      </c>
      <c r="H20" s="73">
        <v>68126</v>
      </c>
      <c r="I20" s="73">
        <v>132956</v>
      </c>
      <c r="J20" s="73">
        <v>64044</v>
      </c>
      <c r="K20" s="73">
        <v>68996</v>
      </c>
      <c r="L20" s="73">
        <v>70000</v>
      </c>
      <c r="M20" s="73">
        <v>70000</v>
      </c>
      <c r="N20" s="73">
        <v>75000</v>
      </c>
      <c r="O20" s="73">
        <v>75000</v>
      </c>
      <c r="P20" s="73">
        <v>75000</v>
      </c>
      <c r="Q20" s="73">
        <v>75000</v>
      </c>
      <c r="R20" s="73">
        <v>75000</v>
      </c>
      <c r="S20" s="73">
        <v>75000</v>
      </c>
      <c r="T20" s="73">
        <v>75000</v>
      </c>
      <c r="U20" s="73">
        <v>75000</v>
      </c>
    </row>
    <row r="21" spans="1:21" s="82" customFormat="1" x14ac:dyDescent="0.25">
      <c r="A21" s="87" t="s">
        <v>283</v>
      </c>
      <c r="B21" s="73"/>
      <c r="C21" s="73">
        <v>0</v>
      </c>
      <c r="D21" s="73">
        <v>0</v>
      </c>
      <c r="E21" s="73">
        <v>0</v>
      </c>
      <c r="F21" s="73">
        <v>0</v>
      </c>
      <c r="G21" s="73">
        <v>133929</v>
      </c>
      <c r="H21" s="73">
        <v>73487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100000</v>
      </c>
      <c r="P21" s="73">
        <v>0</v>
      </c>
      <c r="Q21" s="73">
        <v>0</v>
      </c>
      <c r="R21" s="73">
        <v>0</v>
      </c>
      <c r="S21" s="73">
        <v>100000</v>
      </c>
      <c r="T21" s="73">
        <v>0</v>
      </c>
      <c r="U21" s="73">
        <v>0</v>
      </c>
    </row>
    <row r="22" spans="1:21" s="82" customFormat="1" hidden="1" x14ac:dyDescent="0.25">
      <c r="A22" s="87" t="s">
        <v>275</v>
      </c>
      <c r="B22" s="73"/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</row>
    <row r="23" spans="1:21" s="82" customFormat="1" hidden="1" x14ac:dyDescent="0.25">
      <c r="A23" s="87" t="s">
        <v>280</v>
      </c>
      <c r="B23" s="73"/>
      <c r="C23" s="73"/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25000</v>
      </c>
      <c r="Q23" s="73">
        <v>25000</v>
      </c>
      <c r="R23" s="73">
        <v>25000</v>
      </c>
      <c r="S23" s="73">
        <v>25000</v>
      </c>
      <c r="T23" s="73">
        <v>25000</v>
      </c>
      <c r="U23" s="73">
        <v>25000</v>
      </c>
    </row>
    <row r="24" spans="1:21" s="82" customFormat="1" x14ac:dyDescent="0.25">
      <c r="A24" s="87" t="s">
        <v>285</v>
      </c>
      <c r="B24" s="73"/>
      <c r="C24" s="73"/>
      <c r="D24" s="73"/>
      <c r="E24" s="73"/>
      <c r="F24" s="73"/>
      <c r="G24" s="73"/>
      <c r="H24" s="73"/>
      <c r="I24" s="73">
        <v>0</v>
      </c>
      <c r="J24" s="73">
        <v>271296</v>
      </c>
      <c r="K24" s="73">
        <v>45440</v>
      </c>
      <c r="L24" s="73">
        <v>46000</v>
      </c>
      <c r="M24" s="73">
        <v>46000</v>
      </c>
      <c r="N24" s="73">
        <v>46000</v>
      </c>
      <c r="O24" s="73">
        <v>47000</v>
      </c>
      <c r="P24" s="73">
        <v>47000</v>
      </c>
      <c r="Q24" s="73">
        <v>47000</v>
      </c>
      <c r="R24" s="73">
        <v>48000</v>
      </c>
      <c r="S24" s="73">
        <v>48000</v>
      </c>
      <c r="T24" s="73">
        <v>48000</v>
      </c>
      <c r="U24" s="73">
        <v>48000</v>
      </c>
    </row>
    <row r="25" spans="1:21" x14ac:dyDescent="0.25">
      <c r="A25" s="71" t="s">
        <v>262</v>
      </c>
      <c r="B25" s="19"/>
      <c r="C25" s="42">
        <v>15000</v>
      </c>
      <c r="D25" s="42">
        <f>800+7282+2320+3523</f>
        <v>13925</v>
      </c>
      <c r="E25" s="42">
        <f>78407.95+10000</f>
        <v>88407.95</v>
      </c>
      <c r="F25" s="42">
        <v>12280</v>
      </c>
      <c r="G25" s="42">
        <v>50000</v>
      </c>
      <c r="H25" s="42">
        <v>13000</v>
      </c>
      <c r="I25" s="42">
        <v>4035</v>
      </c>
      <c r="J25" s="42">
        <v>13000</v>
      </c>
      <c r="K25" s="42">
        <v>13000</v>
      </c>
      <c r="L25" s="42">
        <v>13000</v>
      </c>
      <c r="M25" s="42">
        <v>13000</v>
      </c>
      <c r="N25" s="42">
        <v>13000</v>
      </c>
      <c r="O25" s="42">
        <v>13000</v>
      </c>
      <c r="P25" s="42">
        <v>10000</v>
      </c>
      <c r="Q25" s="42">
        <v>10000</v>
      </c>
      <c r="R25" s="42">
        <v>10000</v>
      </c>
      <c r="S25" s="42">
        <v>10000</v>
      </c>
      <c r="T25" s="42">
        <v>10000</v>
      </c>
      <c r="U25" s="42">
        <v>10000</v>
      </c>
    </row>
    <row r="26" spans="1:21" x14ac:dyDescent="0.25">
      <c r="A26" s="93" t="s">
        <v>256</v>
      </c>
      <c r="B26" s="19"/>
      <c r="C26" s="73">
        <f t="shared" ref="C26:D26" si="20">SUM(C14:C25)</f>
        <v>1204446</v>
      </c>
      <c r="D26" s="73">
        <f t="shared" si="20"/>
        <v>463995</v>
      </c>
      <c r="E26" s="73">
        <f t="shared" ref="E26:F26" si="21">SUM(E14:E25)</f>
        <v>632995.75</v>
      </c>
      <c r="F26" s="73">
        <f t="shared" si="21"/>
        <v>2495718.33</v>
      </c>
      <c r="G26" s="73">
        <f t="shared" ref="G26:H26" si="22">SUM(G14:G25)</f>
        <v>1439351</v>
      </c>
      <c r="H26" s="73">
        <f t="shared" si="22"/>
        <v>2619379</v>
      </c>
      <c r="I26" s="73">
        <f t="shared" ref="I26:J26" si="23">SUM(I14:I25)</f>
        <v>535301</v>
      </c>
      <c r="J26" s="73">
        <f t="shared" si="23"/>
        <v>2167900</v>
      </c>
      <c r="K26" s="73">
        <f t="shared" ref="K26:L26" si="24">SUM(K14:K25)</f>
        <v>909478</v>
      </c>
      <c r="L26" s="73">
        <f t="shared" si="24"/>
        <v>1472266</v>
      </c>
      <c r="M26" s="73">
        <f t="shared" ref="M26:N26" si="25">SUM(M14:M25)</f>
        <v>269000</v>
      </c>
      <c r="N26" s="73">
        <f t="shared" si="25"/>
        <v>2279000</v>
      </c>
      <c r="O26" s="73">
        <f t="shared" ref="O26:P26" si="26">SUM(O14:O25)</f>
        <v>431250</v>
      </c>
      <c r="P26" s="73">
        <f t="shared" si="26"/>
        <v>307000</v>
      </c>
      <c r="Q26" s="73">
        <f t="shared" ref="Q26:R26" si="27">SUM(Q14:Q25)</f>
        <v>1307000</v>
      </c>
      <c r="R26" s="73">
        <f t="shared" si="27"/>
        <v>339250</v>
      </c>
      <c r="S26" s="73">
        <f t="shared" ref="S26:T26" si="28">SUM(S14:S25)</f>
        <v>413000</v>
      </c>
      <c r="T26" s="73">
        <f t="shared" si="28"/>
        <v>1313000</v>
      </c>
      <c r="U26" s="73">
        <f t="shared" ref="U26" si="29">SUM(U14:U25)</f>
        <v>313000</v>
      </c>
    </row>
    <row r="27" spans="1:21" x14ac:dyDescent="0.25">
      <c r="A27" s="71"/>
      <c r="B27" s="19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</row>
    <row r="28" spans="1:21" x14ac:dyDescent="0.25">
      <c r="A28" s="71" t="s">
        <v>136</v>
      </c>
      <c r="B28" s="19"/>
      <c r="C28" s="72">
        <v>170000</v>
      </c>
      <c r="D28" s="72">
        <v>181732</v>
      </c>
      <c r="E28" s="72">
        <v>160000</v>
      </c>
      <c r="F28" s="72">
        <v>220000</v>
      </c>
      <c r="G28" s="72">
        <v>170000</v>
      </c>
      <c r="H28" s="72">
        <f t="shared" ref="H28:U28" si="30">+G28</f>
        <v>170000</v>
      </c>
      <c r="I28" s="72">
        <v>200000</v>
      </c>
      <c r="J28" s="72">
        <f t="shared" si="30"/>
        <v>200000</v>
      </c>
      <c r="K28" s="72">
        <f t="shared" si="30"/>
        <v>200000</v>
      </c>
      <c r="L28" s="72">
        <f t="shared" si="30"/>
        <v>200000</v>
      </c>
      <c r="M28" s="72">
        <f t="shared" si="30"/>
        <v>200000</v>
      </c>
      <c r="N28" s="72">
        <f t="shared" si="30"/>
        <v>200000</v>
      </c>
      <c r="O28" s="72">
        <f t="shared" si="30"/>
        <v>200000</v>
      </c>
      <c r="P28" s="72">
        <f t="shared" si="30"/>
        <v>200000</v>
      </c>
      <c r="Q28" s="72">
        <f t="shared" si="30"/>
        <v>200000</v>
      </c>
      <c r="R28" s="72">
        <f t="shared" si="30"/>
        <v>200000</v>
      </c>
      <c r="S28" s="72">
        <f t="shared" si="30"/>
        <v>200000</v>
      </c>
      <c r="T28" s="72">
        <f t="shared" si="30"/>
        <v>200000</v>
      </c>
      <c r="U28" s="72">
        <f t="shared" si="30"/>
        <v>200000</v>
      </c>
    </row>
    <row r="29" spans="1:21" x14ac:dyDescent="0.25">
      <c r="A29" s="71" t="s">
        <v>239</v>
      </c>
      <c r="B29" s="19"/>
      <c r="C29" s="72">
        <v>3000</v>
      </c>
      <c r="D29" s="72">
        <v>3198</v>
      </c>
      <c r="E29" s="72">
        <v>7867.39</v>
      </c>
      <c r="F29" s="72">
        <v>7562</v>
      </c>
      <c r="G29" s="72">
        <v>9691</v>
      </c>
      <c r="H29" s="72">
        <v>7000</v>
      </c>
      <c r="I29" s="72">
        <v>8094</v>
      </c>
      <c r="J29" s="72">
        <v>5000</v>
      </c>
      <c r="K29" s="72">
        <v>5000</v>
      </c>
      <c r="L29" s="72">
        <v>9000</v>
      </c>
      <c r="M29" s="72">
        <v>7000</v>
      </c>
      <c r="N29" s="72">
        <v>6000</v>
      </c>
      <c r="O29" s="72">
        <v>5000</v>
      </c>
      <c r="P29" s="72">
        <v>7000</v>
      </c>
      <c r="Q29" s="72">
        <v>7000</v>
      </c>
      <c r="R29" s="72">
        <v>7000</v>
      </c>
      <c r="S29" s="72">
        <v>7000</v>
      </c>
      <c r="T29" s="72">
        <v>7000</v>
      </c>
      <c r="U29" s="72">
        <v>7000</v>
      </c>
    </row>
    <row r="30" spans="1:21" x14ac:dyDescent="0.25">
      <c r="A30" s="71" t="s">
        <v>260</v>
      </c>
      <c r="B30" s="19"/>
      <c r="C30" s="72">
        <v>56000</v>
      </c>
      <c r="D30" s="72">
        <f>27014+803+1602+10328</f>
        <v>39747</v>
      </c>
      <c r="E30" s="72">
        <v>20000</v>
      </c>
      <c r="F30" s="72">
        <v>40000</v>
      </c>
      <c r="G30" s="72">
        <v>75000</v>
      </c>
      <c r="H30" s="72">
        <v>20000</v>
      </c>
      <c r="I30" s="72">
        <v>20000</v>
      </c>
      <c r="J30" s="72">
        <v>20000</v>
      </c>
      <c r="K30" s="72">
        <f>20000+4500</f>
        <v>24500</v>
      </c>
      <c r="L30" s="72">
        <v>20000</v>
      </c>
      <c r="M30" s="72">
        <v>20000</v>
      </c>
      <c r="N30" s="72">
        <v>20000</v>
      </c>
      <c r="O30" s="72">
        <v>20000</v>
      </c>
      <c r="P30" s="72">
        <v>20000</v>
      </c>
      <c r="Q30" s="72">
        <v>20000</v>
      </c>
      <c r="R30" s="72">
        <v>20000</v>
      </c>
      <c r="S30" s="72">
        <v>20000</v>
      </c>
      <c r="T30" s="72">
        <v>20000</v>
      </c>
      <c r="U30" s="72">
        <v>20000</v>
      </c>
    </row>
    <row r="31" spans="1:21" x14ac:dyDescent="0.25">
      <c r="A31" s="71" t="s">
        <v>243</v>
      </c>
      <c r="B31" s="19"/>
      <c r="C31" s="72">
        <v>3000</v>
      </c>
      <c r="D31" s="72">
        <v>1429</v>
      </c>
      <c r="E31" s="72">
        <f>1365.86+1254.37</f>
        <v>2620.2299999999996</v>
      </c>
      <c r="F31" s="72">
        <f>1160.55+309.97</f>
        <v>1470.52</v>
      </c>
      <c r="G31" s="72">
        <v>3000</v>
      </c>
      <c r="H31" s="72">
        <v>3000</v>
      </c>
      <c r="I31" s="72">
        <v>662</v>
      </c>
      <c r="J31" s="72">
        <v>3000</v>
      </c>
      <c r="K31" s="72">
        <v>3000</v>
      </c>
      <c r="L31" s="72">
        <v>3000</v>
      </c>
      <c r="M31" s="72">
        <v>9500</v>
      </c>
      <c r="N31" s="72">
        <v>3000</v>
      </c>
      <c r="O31" s="72">
        <v>3000</v>
      </c>
      <c r="P31" s="72">
        <v>3000</v>
      </c>
      <c r="Q31" s="72">
        <v>3000</v>
      </c>
      <c r="R31" s="72">
        <v>3000</v>
      </c>
      <c r="S31" s="72">
        <v>3000</v>
      </c>
      <c r="T31" s="72">
        <v>3000</v>
      </c>
      <c r="U31" s="72">
        <v>3000</v>
      </c>
    </row>
    <row r="32" spans="1:21" hidden="1" x14ac:dyDescent="0.25">
      <c r="A32" s="71" t="s">
        <v>159</v>
      </c>
      <c r="B32" s="19"/>
      <c r="C32" s="72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  <c r="R32" s="72">
        <v>0</v>
      </c>
      <c r="S32" s="72">
        <v>0</v>
      </c>
      <c r="T32" s="72">
        <v>0</v>
      </c>
      <c r="U32" s="72">
        <v>0</v>
      </c>
    </row>
    <row r="33" spans="1:21" hidden="1" x14ac:dyDescent="0.25">
      <c r="A33" s="71" t="s">
        <v>244</v>
      </c>
      <c r="B33" s="19"/>
      <c r="C33" s="72">
        <v>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72">
        <v>0</v>
      </c>
      <c r="P33" s="72">
        <v>0</v>
      </c>
      <c r="Q33" s="72">
        <v>0</v>
      </c>
      <c r="R33" s="72">
        <v>0</v>
      </c>
      <c r="S33" s="72">
        <v>0</v>
      </c>
      <c r="T33" s="72">
        <v>0</v>
      </c>
      <c r="U33" s="72">
        <v>0</v>
      </c>
    </row>
    <row r="34" spans="1:21" hidden="1" x14ac:dyDescent="0.25">
      <c r="A34" s="71" t="s">
        <v>254</v>
      </c>
      <c r="B34" s="19"/>
      <c r="C34" s="72">
        <v>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  <c r="Q34" s="72">
        <v>0</v>
      </c>
      <c r="R34" s="72">
        <v>0</v>
      </c>
      <c r="S34" s="72">
        <v>0</v>
      </c>
      <c r="T34" s="72">
        <v>0</v>
      </c>
      <c r="U34" s="72">
        <v>0</v>
      </c>
    </row>
    <row r="35" spans="1:21" hidden="1" x14ac:dyDescent="0.25">
      <c r="A35" s="71" t="s">
        <v>261</v>
      </c>
      <c r="B35" s="19"/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2">
        <v>0</v>
      </c>
      <c r="R35" s="72">
        <v>0</v>
      </c>
      <c r="S35" s="72">
        <v>0</v>
      </c>
      <c r="T35" s="72">
        <v>0</v>
      </c>
      <c r="U35" s="72">
        <v>0</v>
      </c>
    </row>
    <row r="36" spans="1:21" x14ac:dyDescent="0.25">
      <c r="A36" s="71" t="s">
        <v>266</v>
      </c>
      <c r="B36" s="19"/>
      <c r="C36" s="72">
        <f>121187+35000</f>
        <v>156187</v>
      </c>
      <c r="D36" s="72">
        <f>29772.18+330+6375</f>
        <v>36477.18</v>
      </c>
      <c r="E36" s="72">
        <v>55927</v>
      </c>
      <c r="F36" s="72">
        <v>79153</v>
      </c>
      <c r="G36" s="72">
        <v>60000</v>
      </c>
      <c r="H36" s="72">
        <v>700000</v>
      </c>
      <c r="I36" s="72">
        <f>60000+81860</f>
        <v>141860</v>
      </c>
      <c r="J36" s="72">
        <v>60000</v>
      </c>
      <c r="K36" s="72">
        <f>60000+136701</f>
        <v>196701</v>
      </c>
      <c r="L36" s="72">
        <v>60000</v>
      </c>
      <c r="M36" s="72">
        <v>60000</v>
      </c>
      <c r="N36" s="72">
        <v>60000</v>
      </c>
      <c r="O36" s="72">
        <v>60000</v>
      </c>
      <c r="P36" s="72">
        <v>60000</v>
      </c>
      <c r="Q36" s="72">
        <v>60000</v>
      </c>
      <c r="R36" s="72">
        <v>60000</v>
      </c>
      <c r="S36" s="72">
        <v>60000</v>
      </c>
      <c r="T36" s="72">
        <v>60000</v>
      </c>
      <c r="U36" s="72">
        <v>60000</v>
      </c>
    </row>
    <row r="37" spans="1:21" hidden="1" x14ac:dyDescent="0.25">
      <c r="A37" s="71" t="s">
        <v>265</v>
      </c>
      <c r="B37" s="19"/>
      <c r="C37" s="72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2">
        <v>0</v>
      </c>
      <c r="R37" s="72">
        <v>0</v>
      </c>
      <c r="S37" s="72">
        <v>0</v>
      </c>
      <c r="T37" s="72">
        <v>0</v>
      </c>
      <c r="U37" s="72">
        <v>0</v>
      </c>
    </row>
    <row r="38" spans="1:21" hidden="1" x14ac:dyDescent="0.25">
      <c r="A38" s="71" t="s">
        <v>282</v>
      </c>
      <c r="B38" s="19"/>
      <c r="C38" s="72"/>
      <c r="D38" s="72"/>
      <c r="E38" s="72">
        <f>159634.46-56565+25374</f>
        <v>128443.45999999999</v>
      </c>
      <c r="F38" s="72">
        <v>44740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/>
      <c r="Q38" s="72"/>
      <c r="R38" s="72"/>
      <c r="S38" s="72"/>
      <c r="T38" s="72"/>
      <c r="U38" s="72"/>
    </row>
    <row r="39" spans="1:21" hidden="1" x14ac:dyDescent="0.25">
      <c r="A39" s="71" t="s">
        <v>278</v>
      </c>
      <c r="B39" s="19"/>
      <c r="C39" s="72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2">
        <v>0</v>
      </c>
      <c r="R39" s="72">
        <v>0</v>
      </c>
      <c r="S39" s="72">
        <v>0</v>
      </c>
      <c r="T39" s="72">
        <v>0</v>
      </c>
      <c r="U39" s="72">
        <v>0</v>
      </c>
    </row>
    <row r="40" spans="1:21" hidden="1" x14ac:dyDescent="0.25">
      <c r="A40" s="71" t="s">
        <v>279</v>
      </c>
      <c r="B40" s="19"/>
      <c r="C40" s="72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2">
        <v>0</v>
      </c>
      <c r="R40" s="72">
        <v>0</v>
      </c>
      <c r="S40" s="72">
        <v>0</v>
      </c>
      <c r="T40" s="72">
        <v>0</v>
      </c>
      <c r="U40" s="72">
        <v>0</v>
      </c>
    </row>
    <row r="41" spans="1:21" x14ac:dyDescent="0.25">
      <c r="A41" s="71" t="s">
        <v>286</v>
      </c>
      <c r="B41" s="19"/>
      <c r="C41" s="72"/>
      <c r="D41" s="72"/>
      <c r="E41" s="72"/>
      <c r="F41" s="72"/>
      <c r="G41" s="72"/>
      <c r="H41" s="72"/>
      <c r="I41" s="72">
        <v>0</v>
      </c>
      <c r="J41" s="72">
        <v>1316</v>
      </c>
      <c r="K41" s="72">
        <v>29525</v>
      </c>
      <c r="L41" s="72">
        <v>25000</v>
      </c>
      <c r="M41" s="72">
        <v>25000</v>
      </c>
      <c r="N41" s="72">
        <v>25000</v>
      </c>
      <c r="O41" s="72">
        <v>25000</v>
      </c>
      <c r="P41" s="72">
        <v>500000</v>
      </c>
      <c r="Q41" s="72">
        <v>25000</v>
      </c>
      <c r="R41" s="72">
        <v>25000</v>
      </c>
      <c r="S41" s="72">
        <v>25000</v>
      </c>
      <c r="T41" s="72">
        <v>25000</v>
      </c>
      <c r="U41" s="72">
        <v>25000</v>
      </c>
    </row>
    <row r="42" spans="1:21" x14ac:dyDescent="0.25">
      <c r="A42" s="71" t="s">
        <v>270</v>
      </c>
      <c r="B42" s="19"/>
      <c r="C42" s="42">
        <f>25000+135052-14786</f>
        <v>145266</v>
      </c>
      <c r="D42" s="42">
        <f>26000+19510</f>
        <v>45510</v>
      </c>
      <c r="E42" s="42">
        <f>35000+7866.37+18669</f>
        <v>61535.37</v>
      </c>
      <c r="F42" s="42">
        <v>55306</v>
      </c>
      <c r="G42" s="42">
        <v>35000</v>
      </c>
      <c r="H42" s="42">
        <f>35000+146250</f>
        <v>181250</v>
      </c>
      <c r="I42" s="42">
        <v>90000</v>
      </c>
      <c r="J42" s="42">
        <v>65000</v>
      </c>
      <c r="K42" s="42">
        <v>35000</v>
      </c>
      <c r="L42" s="42">
        <v>35000</v>
      </c>
      <c r="M42" s="42">
        <v>35000</v>
      </c>
      <c r="N42" s="42">
        <v>35000</v>
      </c>
      <c r="O42" s="42">
        <v>35000</v>
      </c>
      <c r="P42" s="42">
        <v>35000</v>
      </c>
      <c r="Q42" s="42">
        <v>35000</v>
      </c>
      <c r="R42" s="42">
        <v>35000</v>
      </c>
      <c r="S42" s="42">
        <v>35000</v>
      </c>
      <c r="T42" s="42">
        <v>35000</v>
      </c>
      <c r="U42" s="42">
        <v>35000</v>
      </c>
    </row>
    <row r="43" spans="1:21" x14ac:dyDescent="0.25">
      <c r="A43" s="93" t="s">
        <v>257</v>
      </c>
      <c r="B43" s="19"/>
      <c r="C43" s="72">
        <f t="shared" ref="C43" si="31">SUM(C28:C42)</f>
        <v>533453</v>
      </c>
      <c r="D43" s="72">
        <f>SUM(D28:D42)</f>
        <v>308093.18</v>
      </c>
      <c r="E43" s="72">
        <f t="shared" ref="E43:F43" si="32">SUM(E28:E42)</f>
        <v>436393.45</v>
      </c>
      <c r="F43" s="72">
        <f t="shared" si="32"/>
        <v>448231.52</v>
      </c>
      <c r="G43" s="72">
        <f t="shared" ref="G43:H43" si="33">SUM(G28:G42)</f>
        <v>352691</v>
      </c>
      <c r="H43" s="72">
        <f t="shared" si="33"/>
        <v>1081250</v>
      </c>
      <c r="I43" s="72">
        <f t="shared" ref="I43:J43" si="34">SUM(I28:I42)</f>
        <v>460616</v>
      </c>
      <c r="J43" s="72">
        <f t="shared" si="34"/>
        <v>354316</v>
      </c>
      <c r="K43" s="72">
        <f t="shared" ref="K43:L43" si="35">SUM(K28:K42)</f>
        <v>493726</v>
      </c>
      <c r="L43" s="72">
        <f t="shared" si="35"/>
        <v>352000</v>
      </c>
      <c r="M43" s="72">
        <f t="shared" ref="M43:N43" si="36">SUM(M28:M42)</f>
        <v>356500</v>
      </c>
      <c r="N43" s="72">
        <f t="shared" si="36"/>
        <v>349000</v>
      </c>
      <c r="O43" s="72">
        <f t="shared" ref="O43:P43" si="37">SUM(O28:O42)</f>
        <v>348000</v>
      </c>
      <c r="P43" s="72">
        <f t="shared" si="37"/>
        <v>825000</v>
      </c>
      <c r="Q43" s="72">
        <f t="shared" ref="Q43:R43" si="38">SUM(Q28:Q42)</f>
        <v>350000</v>
      </c>
      <c r="R43" s="72">
        <f t="shared" si="38"/>
        <v>350000</v>
      </c>
      <c r="S43" s="72">
        <f t="shared" ref="S43:T43" si="39">SUM(S28:S42)</f>
        <v>350000</v>
      </c>
      <c r="T43" s="72">
        <f t="shared" si="39"/>
        <v>350000</v>
      </c>
      <c r="U43" s="72">
        <f t="shared" ref="U43" si="40">SUM(U28:U42)</f>
        <v>350000</v>
      </c>
    </row>
    <row r="44" spans="1:21" x14ac:dyDescent="0.25">
      <c r="A44" s="71"/>
      <c r="B44" s="19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</row>
    <row r="45" spans="1:21" x14ac:dyDescent="0.25">
      <c r="A45" s="71" t="s">
        <v>240</v>
      </c>
      <c r="B45" s="19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</row>
    <row r="46" spans="1:21" x14ac:dyDescent="0.25">
      <c r="A46" s="71"/>
      <c r="B46" s="19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</row>
    <row r="47" spans="1:21" hidden="1" x14ac:dyDescent="0.25">
      <c r="A47" s="71" t="s">
        <v>179</v>
      </c>
      <c r="B47" s="19"/>
      <c r="C47" s="85">
        <v>0</v>
      </c>
      <c r="D47" s="85">
        <v>0</v>
      </c>
      <c r="E47" s="85">
        <v>0</v>
      </c>
      <c r="F47" s="85">
        <v>0</v>
      </c>
      <c r="G47" s="85">
        <v>0</v>
      </c>
      <c r="H47" s="85">
        <v>0</v>
      </c>
      <c r="I47" s="85">
        <v>0</v>
      </c>
      <c r="J47" s="85">
        <v>0</v>
      </c>
      <c r="K47" s="85">
        <v>0</v>
      </c>
      <c r="L47" s="85">
        <v>0</v>
      </c>
      <c r="M47" s="85">
        <v>0</v>
      </c>
      <c r="N47" s="85">
        <v>0</v>
      </c>
      <c r="O47" s="85">
        <v>0</v>
      </c>
      <c r="P47" s="85">
        <v>0</v>
      </c>
      <c r="Q47" s="85">
        <v>0</v>
      </c>
      <c r="R47" s="85">
        <v>0</v>
      </c>
      <c r="S47" s="85">
        <v>0</v>
      </c>
      <c r="T47" s="85">
        <v>0</v>
      </c>
      <c r="U47" s="85">
        <v>0</v>
      </c>
    </row>
    <row r="48" spans="1:21" hidden="1" x14ac:dyDescent="0.25">
      <c r="A48" s="71" t="s">
        <v>180</v>
      </c>
      <c r="B48" s="19"/>
      <c r="C48" s="85">
        <v>3</v>
      </c>
      <c r="D48" s="85">
        <v>3</v>
      </c>
      <c r="E48" s="85">
        <v>3</v>
      </c>
      <c r="F48" s="85">
        <v>3</v>
      </c>
      <c r="G48" s="85">
        <v>3</v>
      </c>
      <c r="H48" s="85">
        <v>3</v>
      </c>
      <c r="I48" s="85">
        <v>3</v>
      </c>
      <c r="J48" s="85">
        <v>3</v>
      </c>
      <c r="K48" s="85">
        <v>3</v>
      </c>
      <c r="L48" s="85">
        <v>3</v>
      </c>
      <c r="M48" s="85">
        <v>3</v>
      </c>
      <c r="N48" s="85">
        <v>3</v>
      </c>
      <c r="O48" s="85">
        <v>3</v>
      </c>
      <c r="P48" s="85">
        <v>3</v>
      </c>
      <c r="Q48" s="85">
        <v>3</v>
      </c>
      <c r="R48" s="85">
        <v>3</v>
      </c>
      <c r="S48" s="85">
        <v>3</v>
      </c>
      <c r="T48" s="85">
        <v>3</v>
      </c>
      <c r="U48" s="85">
        <v>3</v>
      </c>
    </row>
    <row r="49" spans="1:21" hidden="1" x14ac:dyDescent="0.25">
      <c r="A49" s="71" t="s">
        <v>223</v>
      </c>
      <c r="B49" s="19"/>
      <c r="C49" s="85">
        <v>0</v>
      </c>
      <c r="D49" s="85">
        <v>0</v>
      </c>
      <c r="E49" s="85">
        <v>0</v>
      </c>
      <c r="F49" s="85">
        <v>0</v>
      </c>
      <c r="G49" s="85">
        <v>0</v>
      </c>
      <c r="H49" s="85">
        <v>0</v>
      </c>
      <c r="I49" s="85">
        <v>0</v>
      </c>
      <c r="J49" s="85">
        <v>0</v>
      </c>
      <c r="K49" s="85">
        <v>0</v>
      </c>
      <c r="L49" s="85">
        <v>0</v>
      </c>
      <c r="M49" s="85">
        <v>0</v>
      </c>
      <c r="N49" s="85">
        <v>0</v>
      </c>
      <c r="O49" s="85">
        <v>0</v>
      </c>
      <c r="P49" s="85">
        <v>0</v>
      </c>
      <c r="Q49" s="85">
        <v>0</v>
      </c>
      <c r="R49" s="85">
        <v>0</v>
      </c>
      <c r="S49" s="85">
        <v>0</v>
      </c>
      <c r="T49" s="85">
        <v>0</v>
      </c>
      <c r="U49" s="85">
        <v>0</v>
      </c>
    </row>
    <row r="50" spans="1:21" hidden="1" x14ac:dyDescent="0.25">
      <c r="A50" s="71" t="s">
        <v>199</v>
      </c>
      <c r="B50" s="19"/>
      <c r="C50" s="85">
        <v>1</v>
      </c>
      <c r="D50" s="85">
        <v>1</v>
      </c>
      <c r="E50" s="85">
        <v>1</v>
      </c>
      <c r="F50" s="85">
        <v>1</v>
      </c>
      <c r="G50" s="85">
        <v>1</v>
      </c>
      <c r="H50" s="85">
        <v>1</v>
      </c>
      <c r="I50" s="85">
        <v>1</v>
      </c>
      <c r="J50" s="85">
        <v>1</v>
      </c>
      <c r="K50" s="85">
        <v>1</v>
      </c>
      <c r="L50" s="85">
        <v>1</v>
      </c>
      <c r="M50" s="85">
        <v>1</v>
      </c>
      <c r="N50" s="85">
        <v>1</v>
      </c>
      <c r="O50" s="85">
        <v>1</v>
      </c>
      <c r="P50" s="85">
        <v>1</v>
      </c>
      <c r="Q50" s="85">
        <v>1</v>
      </c>
      <c r="R50" s="85">
        <v>1</v>
      </c>
      <c r="S50" s="85">
        <v>1</v>
      </c>
      <c r="T50" s="85">
        <v>1</v>
      </c>
      <c r="U50" s="85">
        <v>1</v>
      </c>
    </row>
    <row r="51" spans="1:21" hidden="1" x14ac:dyDescent="0.25">
      <c r="A51" s="71" t="s">
        <v>146</v>
      </c>
      <c r="B51" s="19"/>
      <c r="C51" s="72">
        <v>0</v>
      </c>
      <c r="D51" s="72">
        <v>0</v>
      </c>
      <c r="E51" s="72">
        <v>0</v>
      </c>
      <c r="F51" s="72">
        <v>0</v>
      </c>
      <c r="G51" s="72">
        <v>0</v>
      </c>
      <c r="H51" s="72">
        <v>0</v>
      </c>
      <c r="I51" s="72">
        <v>0</v>
      </c>
      <c r="J51" s="72">
        <v>0</v>
      </c>
      <c r="K51" s="72">
        <v>0</v>
      </c>
      <c r="L51" s="72">
        <v>0</v>
      </c>
      <c r="M51" s="72">
        <v>0</v>
      </c>
      <c r="N51" s="72">
        <v>0</v>
      </c>
      <c r="O51" s="72">
        <v>0</v>
      </c>
      <c r="P51" s="72">
        <v>0</v>
      </c>
      <c r="Q51" s="72">
        <v>0</v>
      </c>
      <c r="R51" s="72">
        <v>0</v>
      </c>
      <c r="S51" s="72">
        <v>0</v>
      </c>
      <c r="T51" s="72">
        <v>0</v>
      </c>
      <c r="U51" s="72">
        <v>0</v>
      </c>
    </row>
    <row r="52" spans="1:21" x14ac:dyDescent="0.25">
      <c r="A52" s="71" t="s">
        <v>252</v>
      </c>
      <c r="B52" s="19"/>
      <c r="C52" s="72">
        <v>412757</v>
      </c>
      <c r="D52" s="72">
        <v>229626</v>
      </c>
      <c r="E52" s="72">
        <v>112080</v>
      </c>
      <c r="F52" s="72">
        <f>99920+80845+24171</f>
        <v>204936</v>
      </c>
      <c r="G52" s="72">
        <v>1413375</v>
      </c>
      <c r="H52" s="72">
        <v>294496</v>
      </c>
      <c r="I52" s="72">
        <v>231728</v>
      </c>
      <c r="J52" s="72">
        <v>696606</v>
      </c>
      <c r="K52" s="72">
        <v>256700</v>
      </c>
      <c r="L52" s="72">
        <v>500000</v>
      </c>
      <c r="M52" s="72">
        <v>500000</v>
      </c>
      <c r="N52" s="72">
        <v>500000</v>
      </c>
      <c r="O52" s="72">
        <v>465999</v>
      </c>
      <c r="P52" s="72">
        <v>200000</v>
      </c>
      <c r="Q52" s="72">
        <v>500000</v>
      </c>
      <c r="R52" s="72">
        <v>300000</v>
      </c>
      <c r="S52" s="72">
        <v>500000</v>
      </c>
      <c r="T52" s="72">
        <v>200000</v>
      </c>
      <c r="U52" s="72">
        <v>500000</v>
      </c>
    </row>
    <row r="53" spans="1:21" x14ac:dyDescent="0.25">
      <c r="A53" s="71" t="s">
        <v>273</v>
      </c>
      <c r="B53" s="19"/>
      <c r="C53" s="72">
        <v>0</v>
      </c>
      <c r="D53" s="72">
        <v>0</v>
      </c>
      <c r="E53" s="72">
        <v>0</v>
      </c>
      <c r="F53" s="72">
        <f>10500*9</f>
        <v>94500</v>
      </c>
      <c r="G53" s="72">
        <v>105000</v>
      </c>
      <c r="H53" s="72">
        <v>147000</v>
      </c>
      <c r="I53" s="72">
        <v>52500</v>
      </c>
      <c r="J53" s="72">
        <v>52500</v>
      </c>
      <c r="K53" s="72">
        <v>42000</v>
      </c>
      <c r="L53" s="72">
        <v>0</v>
      </c>
      <c r="M53" s="72">
        <v>0</v>
      </c>
      <c r="N53" s="72">
        <v>0</v>
      </c>
      <c r="O53" s="72">
        <v>0</v>
      </c>
      <c r="P53" s="72">
        <v>0</v>
      </c>
      <c r="Q53" s="72">
        <v>0</v>
      </c>
      <c r="R53" s="72">
        <v>0</v>
      </c>
      <c r="S53" s="72">
        <v>0</v>
      </c>
      <c r="T53" s="72">
        <v>0</v>
      </c>
      <c r="U53" s="72">
        <v>0</v>
      </c>
    </row>
    <row r="54" spans="1:21" x14ac:dyDescent="0.25">
      <c r="A54" s="71" t="s">
        <v>274</v>
      </c>
      <c r="B54" s="19"/>
      <c r="C54" s="72">
        <v>138564</v>
      </c>
      <c r="D54" s="72">
        <v>0</v>
      </c>
      <c r="E54" s="72">
        <v>13585</v>
      </c>
      <c r="F54" s="72">
        <f>36000+142000</f>
        <v>178000</v>
      </c>
      <c r="G54" s="72">
        <v>200000</v>
      </c>
      <c r="H54" s="72">
        <v>235750</v>
      </c>
      <c r="I54" s="72">
        <v>271000</v>
      </c>
      <c r="J54" s="72">
        <v>195166</v>
      </c>
      <c r="K54" s="72">
        <v>0</v>
      </c>
      <c r="L54" s="72">
        <f>700000+70000</f>
        <v>770000</v>
      </c>
      <c r="M54" s="72">
        <v>408000</v>
      </c>
      <c r="N54" s="72">
        <v>250000</v>
      </c>
      <c r="O54" s="72">
        <v>200000</v>
      </c>
      <c r="P54" s="72">
        <v>0</v>
      </c>
      <c r="Q54" s="72">
        <v>400000</v>
      </c>
      <c r="R54" s="72">
        <v>0</v>
      </c>
      <c r="S54" s="72">
        <v>300000</v>
      </c>
      <c r="T54" s="72">
        <v>0</v>
      </c>
      <c r="U54" s="72">
        <v>0</v>
      </c>
    </row>
    <row r="55" spans="1:21" hidden="1" x14ac:dyDescent="0.25">
      <c r="A55" s="71" t="s">
        <v>224</v>
      </c>
      <c r="B55" s="19"/>
      <c r="C55" s="72">
        <v>0</v>
      </c>
      <c r="D55" s="72">
        <v>0</v>
      </c>
      <c r="E55" s="72">
        <v>0</v>
      </c>
      <c r="F55" s="72">
        <v>0</v>
      </c>
      <c r="G55" s="72">
        <v>0</v>
      </c>
      <c r="H55" s="72">
        <v>0</v>
      </c>
      <c r="I55" s="72">
        <v>0</v>
      </c>
      <c r="J55" s="72">
        <v>0</v>
      </c>
      <c r="K55" s="72">
        <v>0</v>
      </c>
      <c r="L55" s="72">
        <v>0</v>
      </c>
      <c r="M55" s="72">
        <v>0</v>
      </c>
      <c r="N55" s="72">
        <v>0</v>
      </c>
      <c r="O55" s="72">
        <v>0</v>
      </c>
      <c r="P55" s="72">
        <v>0</v>
      </c>
      <c r="Q55" s="72">
        <v>0</v>
      </c>
      <c r="R55" s="72">
        <v>0</v>
      </c>
      <c r="S55" s="72">
        <v>0</v>
      </c>
      <c r="T55" s="72">
        <v>0</v>
      </c>
      <c r="U55" s="72">
        <v>0</v>
      </c>
    </row>
    <row r="56" spans="1:21" x14ac:dyDescent="0.25">
      <c r="A56" s="61" t="s">
        <v>277</v>
      </c>
      <c r="B56" s="19"/>
      <c r="C56" s="72">
        <v>63515</v>
      </c>
      <c r="D56" s="72">
        <v>0</v>
      </c>
      <c r="E56" s="72">
        <v>0</v>
      </c>
      <c r="F56" s="72">
        <v>0</v>
      </c>
      <c r="G56" s="72">
        <v>0</v>
      </c>
      <c r="H56" s="72">
        <v>0</v>
      </c>
      <c r="I56" s="72">
        <v>0</v>
      </c>
      <c r="J56" s="72">
        <v>0</v>
      </c>
      <c r="K56" s="72">
        <v>0</v>
      </c>
      <c r="L56" s="72">
        <v>0</v>
      </c>
      <c r="M56" s="72">
        <v>0</v>
      </c>
      <c r="N56" s="72">
        <v>40000</v>
      </c>
      <c r="O56" s="72">
        <v>0</v>
      </c>
      <c r="P56" s="72">
        <v>0</v>
      </c>
      <c r="Q56" s="72">
        <v>0</v>
      </c>
      <c r="R56" s="72">
        <v>0</v>
      </c>
      <c r="S56" s="72">
        <v>0</v>
      </c>
      <c r="T56" s="72">
        <v>0</v>
      </c>
      <c r="U56" s="72">
        <v>0</v>
      </c>
    </row>
    <row r="57" spans="1:21" x14ac:dyDescent="0.25">
      <c r="A57" s="93" t="s">
        <v>241</v>
      </c>
      <c r="B57" s="19"/>
      <c r="C57" s="77">
        <f t="shared" ref="C57:D57" si="41">SUM(C51:C56)</f>
        <v>614836</v>
      </c>
      <c r="D57" s="77">
        <f t="shared" si="41"/>
        <v>229626</v>
      </c>
      <c r="E57" s="77">
        <f t="shared" ref="E57:F57" si="42">SUM(E51:E56)</f>
        <v>125665</v>
      </c>
      <c r="F57" s="77">
        <f t="shared" si="42"/>
        <v>477436</v>
      </c>
      <c r="G57" s="77">
        <f t="shared" ref="G57:H57" si="43">SUM(G51:G56)</f>
        <v>1718375</v>
      </c>
      <c r="H57" s="77">
        <f t="shared" si="43"/>
        <v>677246</v>
      </c>
      <c r="I57" s="77">
        <f t="shared" ref="I57:J57" si="44">SUM(I51:I56)</f>
        <v>555228</v>
      </c>
      <c r="J57" s="77">
        <f t="shared" si="44"/>
        <v>944272</v>
      </c>
      <c r="K57" s="77">
        <f t="shared" ref="K57:L57" si="45">SUM(K51:K56)</f>
        <v>298700</v>
      </c>
      <c r="L57" s="77">
        <f t="shared" si="45"/>
        <v>1270000</v>
      </c>
      <c r="M57" s="77">
        <f t="shared" ref="M57:N57" si="46">SUM(M51:M56)</f>
        <v>908000</v>
      </c>
      <c r="N57" s="77">
        <f t="shared" si="46"/>
        <v>790000</v>
      </c>
      <c r="O57" s="77">
        <f t="shared" ref="O57:P57" si="47">SUM(O51:O56)</f>
        <v>665999</v>
      </c>
      <c r="P57" s="77">
        <f t="shared" si="47"/>
        <v>200000</v>
      </c>
      <c r="Q57" s="77">
        <f t="shared" ref="Q57:R57" si="48">SUM(Q51:Q56)</f>
        <v>900000</v>
      </c>
      <c r="R57" s="77">
        <f t="shared" si="48"/>
        <v>300000</v>
      </c>
      <c r="S57" s="77">
        <f t="shared" ref="S57:T57" si="49">SUM(S51:S56)</f>
        <v>800000</v>
      </c>
      <c r="T57" s="77">
        <f t="shared" si="49"/>
        <v>200000</v>
      </c>
      <c r="U57" s="77">
        <f t="shared" ref="U57" si="50">SUM(U51:U56)</f>
        <v>500000</v>
      </c>
    </row>
    <row r="58" spans="1:21" x14ac:dyDescent="0.25">
      <c r="A58" s="71" t="s">
        <v>1</v>
      </c>
      <c r="B58" s="19"/>
      <c r="C58" s="72" t="s">
        <v>1</v>
      </c>
      <c r="D58" s="72" t="s">
        <v>1</v>
      </c>
      <c r="E58" s="72" t="s">
        <v>1</v>
      </c>
      <c r="F58" s="72" t="s">
        <v>1</v>
      </c>
      <c r="G58" s="72" t="s">
        <v>1</v>
      </c>
      <c r="H58" s="72" t="s">
        <v>1</v>
      </c>
      <c r="I58" s="72" t="s">
        <v>1</v>
      </c>
      <c r="J58" s="72" t="s">
        <v>1</v>
      </c>
      <c r="K58" s="72" t="s">
        <v>1</v>
      </c>
      <c r="L58" s="72" t="s">
        <v>1</v>
      </c>
      <c r="M58" s="72" t="s">
        <v>1</v>
      </c>
      <c r="N58" s="72" t="s">
        <v>1</v>
      </c>
      <c r="O58" s="72" t="s">
        <v>1</v>
      </c>
      <c r="P58" s="72" t="s">
        <v>1</v>
      </c>
      <c r="Q58" s="72" t="s">
        <v>1</v>
      </c>
      <c r="R58" s="72" t="s">
        <v>1</v>
      </c>
      <c r="S58" s="72" t="s">
        <v>1</v>
      </c>
      <c r="T58" s="72" t="s">
        <v>1</v>
      </c>
      <c r="U58" s="72" t="s">
        <v>1</v>
      </c>
    </row>
    <row r="59" spans="1:21" x14ac:dyDescent="0.25">
      <c r="A59" s="71" t="s">
        <v>242</v>
      </c>
      <c r="B59" s="19"/>
      <c r="C59" s="84">
        <f t="shared" ref="C59:D59" si="51">+C43+C57</f>
        <v>1148289</v>
      </c>
      <c r="D59" s="84">
        <f t="shared" si="51"/>
        <v>537719.17999999993</v>
      </c>
      <c r="E59" s="84">
        <f t="shared" ref="E59:F59" si="52">+E43+E57</f>
        <v>562058.44999999995</v>
      </c>
      <c r="F59" s="84">
        <f t="shared" si="52"/>
        <v>925667.52</v>
      </c>
      <c r="G59" s="84">
        <f t="shared" ref="G59:H59" si="53">+G43+G57</f>
        <v>2071066</v>
      </c>
      <c r="H59" s="84">
        <f t="shared" si="53"/>
        <v>1758496</v>
      </c>
      <c r="I59" s="84">
        <f t="shared" ref="I59:J59" si="54">+I43+I57</f>
        <v>1015844</v>
      </c>
      <c r="J59" s="84">
        <f t="shared" si="54"/>
        <v>1298588</v>
      </c>
      <c r="K59" s="84">
        <f t="shared" ref="K59:L59" si="55">+K43+K57</f>
        <v>792426</v>
      </c>
      <c r="L59" s="84">
        <f t="shared" si="55"/>
        <v>1622000</v>
      </c>
      <c r="M59" s="84">
        <f t="shared" ref="M59:N59" si="56">+M43+M57</f>
        <v>1264500</v>
      </c>
      <c r="N59" s="84">
        <f t="shared" si="56"/>
        <v>1139000</v>
      </c>
      <c r="O59" s="84">
        <f t="shared" ref="O59:P59" si="57">+O43+O57</f>
        <v>1013999</v>
      </c>
      <c r="P59" s="84">
        <f t="shared" si="57"/>
        <v>1025000</v>
      </c>
      <c r="Q59" s="84">
        <f t="shared" ref="Q59:R59" si="58">+Q43+Q57</f>
        <v>1250000</v>
      </c>
      <c r="R59" s="84">
        <f t="shared" si="58"/>
        <v>650000</v>
      </c>
      <c r="S59" s="84">
        <f t="shared" ref="S59:T59" si="59">+S43+S57</f>
        <v>1150000</v>
      </c>
      <c r="T59" s="84">
        <f t="shared" si="59"/>
        <v>550000</v>
      </c>
      <c r="U59" s="84">
        <f t="shared" ref="U59" si="60">+U43+U57</f>
        <v>850000</v>
      </c>
    </row>
    <row r="60" spans="1:21" x14ac:dyDescent="0.25">
      <c r="A60" s="71"/>
      <c r="B60" s="19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</row>
    <row r="61" spans="1:21" ht="15.75" thickBot="1" x14ac:dyDescent="0.3">
      <c r="A61" s="71" t="s">
        <v>64</v>
      </c>
      <c r="B61" s="19"/>
      <c r="C61" s="86">
        <f t="shared" ref="C61:D61" si="61">C12+C26-C59</f>
        <v>11846502.41</v>
      </c>
      <c r="D61" s="86">
        <f t="shared" si="61"/>
        <v>11772778.380000003</v>
      </c>
      <c r="E61" s="86">
        <f t="shared" ref="E61:F61" si="62">E12+E26-E59</f>
        <v>11843715.300000001</v>
      </c>
      <c r="F61" s="86">
        <f t="shared" si="62"/>
        <v>13413765.790000001</v>
      </c>
      <c r="G61" s="86">
        <f t="shared" ref="G61:H61" si="63">G12+G26-G59</f>
        <v>12782050.949999999</v>
      </c>
      <c r="H61" s="86">
        <f t="shared" si="63"/>
        <v>13642934</v>
      </c>
      <c r="I61" s="86">
        <f t="shared" ref="I61:J61" si="64">I12+I26-I59</f>
        <v>13162391</v>
      </c>
      <c r="J61" s="86">
        <f t="shared" si="64"/>
        <v>14031703</v>
      </c>
      <c r="K61" s="86">
        <f t="shared" ref="K61:L61" si="65">K12+K26-K59</f>
        <v>14148755</v>
      </c>
      <c r="L61" s="86">
        <f t="shared" si="65"/>
        <v>13999021</v>
      </c>
      <c r="M61" s="86">
        <f t="shared" ref="M61:N61" si="66">M12+M26-M59</f>
        <v>13003521</v>
      </c>
      <c r="N61" s="86">
        <f t="shared" si="66"/>
        <v>14143521</v>
      </c>
      <c r="O61" s="86">
        <f t="shared" ref="O61:P61" si="67">O12+O26-O59</f>
        <v>13560772</v>
      </c>
      <c r="P61" s="86">
        <f t="shared" si="67"/>
        <v>12842772</v>
      </c>
      <c r="Q61" s="86">
        <f t="shared" ref="Q61:R61" si="68">Q12+Q26-Q59</f>
        <v>12899772</v>
      </c>
      <c r="R61" s="86">
        <f t="shared" si="68"/>
        <v>12589022</v>
      </c>
      <c r="S61" s="86">
        <f t="shared" ref="S61:T61" si="69">S12+S26-S59</f>
        <v>11852022</v>
      </c>
      <c r="T61" s="86">
        <f t="shared" si="69"/>
        <v>12615022</v>
      </c>
      <c r="U61" s="86">
        <f t="shared" ref="U61" si="70">U12+U26-U59</f>
        <v>12078022</v>
      </c>
    </row>
    <row r="62" spans="1:21" ht="15.75" thickTop="1" x14ac:dyDescent="0.25"/>
    <row r="63" spans="1:21" x14ac:dyDescent="0.25">
      <c r="A63" s="71" t="s">
        <v>227</v>
      </c>
      <c r="C63" s="1">
        <f t="shared" ref="C63:U63" si="71">+C61-D12</f>
        <v>-0.15000000223517418</v>
      </c>
      <c r="D63" s="1">
        <f t="shared" si="71"/>
        <v>0.38000000268220901</v>
      </c>
      <c r="E63" s="1">
        <f t="shared" si="71"/>
        <v>0.32000000029802322</v>
      </c>
      <c r="F63" s="72">
        <f t="shared" si="71"/>
        <v>-0.15999999828636646</v>
      </c>
      <c r="G63" s="1">
        <f t="shared" si="71"/>
        <v>-5.000000074505806E-2</v>
      </c>
      <c r="H63" s="1">
        <f t="shared" si="71"/>
        <v>0</v>
      </c>
      <c r="I63" s="1">
        <f t="shared" si="71"/>
        <v>0</v>
      </c>
      <c r="J63" s="1">
        <f t="shared" si="71"/>
        <v>0</v>
      </c>
      <c r="K63" s="1">
        <f t="shared" si="71"/>
        <v>0</v>
      </c>
      <c r="L63" s="1">
        <f t="shared" si="71"/>
        <v>0</v>
      </c>
      <c r="M63" s="1">
        <f t="shared" si="71"/>
        <v>0</v>
      </c>
      <c r="N63" s="1">
        <f t="shared" si="71"/>
        <v>0</v>
      </c>
      <c r="O63" s="1">
        <f t="shared" si="71"/>
        <v>0</v>
      </c>
      <c r="P63" s="1">
        <f t="shared" si="71"/>
        <v>0</v>
      </c>
      <c r="Q63" s="1">
        <f t="shared" si="71"/>
        <v>0</v>
      </c>
      <c r="R63" s="1">
        <f t="shared" si="71"/>
        <v>0</v>
      </c>
      <c r="S63" s="1">
        <f t="shared" si="71"/>
        <v>0</v>
      </c>
      <c r="T63" s="1">
        <f t="shared" si="71"/>
        <v>0</v>
      </c>
      <c r="U63" s="1">
        <f t="shared" si="71"/>
        <v>12078022</v>
      </c>
    </row>
    <row r="64" spans="1:21" x14ac:dyDescent="0.25">
      <c r="B64" s="19"/>
    </row>
    <row r="65" spans="1:6" x14ac:dyDescent="0.25">
      <c r="A65" s="71"/>
      <c r="B65" s="19"/>
      <c r="E65" s="74"/>
      <c r="F65" s="95"/>
    </row>
    <row r="66" spans="1:6" x14ac:dyDescent="0.25">
      <c r="A66" s="71"/>
      <c r="B66" s="19"/>
    </row>
    <row r="67" spans="1:6" x14ac:dyDescent="0.25">
      <c r="A67" s="61"/>
      <c r="B67" s="19"/>
    </row>
    <row r="68" spans="1:6" x14ac:dyDescent="0.25">
      <c r="A68" s="61"/>
      <c r="B68" s="19"/>
    </row>
    <row r="69" spans="1:6" x14ac:dyDescent="0.25">
      <c r="A69" s="71"/>
      <c r="B69" s="19"/>
    </row>
    <row r="70" spans="1:6" x14ac:dyDescent="0.25">
      <c r="A70" s="71"/>
      <c r="B70" s="19"/>
    </row>
    <row r="71" spans="1:6" x14ac:dyDescent="0.25">
      <c r="A71" s="71"/>
      <c r="B71" s="19"/>
    </row>
    <row r="72" spans="1:6" x14ac:dyDescent="0.25">
      <c r="A72" s="71"/>
      <c r="B72" s="19"/>
    </row>
    <row r="73" spans="1:6" x14ac:dyDescent="0.25">
      <c r="A73" s="71"/>
      <c r="B73" s="19"/>
    </row>
    <row r="74" spans="1:6" x14ac:dyDescent="0.25">
      <c r="A74" s="71"/>
    </row>
  </sheetData>
  <mergeCells count="2">
    <mergeCell ref="A1:T1"/>
    <mergeCell ref="A2:T2"/>
  </mergeCells>
  <printOptions horizontalCentered="1" verticalCentered="1"/>
  <pageMargins left="0.7" right="0.7" top="0" bottom="0.75" header="0" footer="0.3"/>
  <pageSetup scale="78" orientation="landscape" r:id="rId1"/>
  <ignoredErrors>
    <ignoredError sqref="C57:D5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Z134"/>
  <sheetViews>
    <sheetView view="pageBreakPreview" zoomScaleNormal="100" zoomScaleSheetLayoutView="100" workbookViewId="0">
      <pane xSplit="6" ySplit="16" topLeftCell="AL17" activePane="bottomRight" state="frozen"/>
      <selection pane="topRight" activeCell="G1" sqref="G1"/>
      <selection pane="bottomLeft" activeCell="A19" sqref="A19"/>
      <selection pane="bottomRight" activeCell="AO36" sqref="AO36"/>
    </sheetView>
  </sheetViews>
  <sheetFormatPr defaultRowHeight="15" x14ac:dyDescent="0.25"/>
  <cols>
    <col min="1" max="1" width="49.140625" customWidth="1"/>
    <col min="2" max="2" width="2.85546875" style="20" customWidth="1"/>
    <col min="3" max="5" width="10" hidden="1" customWidth="1"/>
    <col min="6" max="6" width="10.7109375" hidden="1" customWidth="1"/>
    <col min="7" max="7" width="13.28515625" hidden="1" customWidth="1"/>
    <col min="8" max="11" width="13.7109375" hidden="1" customWidth="1"/>
    <col min="12" max="12" width="15.140625" hidden="1" customWidth="1"/>
    <col min="13" max="13" width="15.5703125" hidden="1" customWidth="1"/>
    <col min="14" max="30" width="15.85546875" hidden="1" customWidth="1"/>
    <col min="31" max="34" width="17.7109375" hidden="1" customWidth="1"/>
    <col min="35" max="41" width="17.7109375" customWidth="1"/>
    <col min="42" max="42" width="6.140625" customWidth="1"/>
    <col min="43" max="43" width="33.5703125" style="3" customWidth="1"/>
    <col min="44" max="44" width="15.28515625" customWidth="1"/>
    <col min="45" max="45" width="9.42578125" bestFit="1" customWidth="1"/>
    <col min="46" max="46" width="13.42578125" bestFit="1" customWidth="1"/>
    <col min="47" max="47" width="11" customWidth="1"/>
  </cols>
  <sheetData>
    <row r="1" spans="1:44" x14ac:dyDescent="0.25">
      <c r="A1" s="5" t="s">
        <v>0</v>
      </c>
      <c r="AQ1" s="57">
        <f ca="1">NOW()</f>
        <v>43728.484593171299</v>
      </c>
    </row>
    <row r="2" spans="1:44" x14ac:dyDescent="0.25">
      <c r="A2" s="71" t="s">
        <v>210</v>
      </c>
    </row>
    <row r="3" spans="1:44" ht="15.75" x14ac:dyDescent="0.25">
      <c r="A3" s="5" t="s">
        <v>1</v>
      </c>
      <c r="B3" s="76"/>
      <c r="C3" s="7">
        <v>40179</v>
      </c>
      <c r="D3" s="7">
        <f>C3+31</f>
        <v>40210</v>
      </c>
      <c r="E3" s="7">
        <f t="shared" ref="E3:U3" si="0">D3+31</f>
        <v>40241</v>
      </c>
      <c r="F3" s="7">
        <f t="shared" si="0"/>
        <v>40272</v>
      </c>
      <c r="G3" s="7">
        <f>F3+31</f>
        <v>40303</v>
      </c>
      <c r="H3" s="7">
        <f t="shared" si="0"/>
        <v>40334</v>
      </c>
      <c r="I3" s="7">
        <f t="shared" si="0"/>
        <v>40365</v>
      </c>
      <c r="J3" s="7">
        <f t="shared" si="0"/>
        <v>40396</v>
      </c>
      <c r="K3" s="7">
        <f t="shared" si="0"/>
        <v>40427</v>
      </c>
      <c r="L3" s="7">
        <f t="shared" si="0"/>
        <v>40458</v>
      </c>
      <c r="M3" s="7">
        <f t="shared" si="0"/>
        <v>40489</v>
      </c>
      <c r="N3" s="7">
        <f t="shared" si="0"/>
        <v>40520</v>
      </c>
      <c r="O3" s="7">
        <f t="shared" si="0"/>
        <v>40551</v>
      </c>
      <c r="P3" s="7">
        <f t="shared" si="0"/>
        <v>40582</v>
      </c>
      <c r="Q3" s="65">
        <f t="shared" si="0"/>
        <v>40613</v>
      </c>
      <c r="R3" s="65">
        <f t="shared" si="0"/>
        <v>40644</v>
      </c>
      <c r="S3" s="65">
        <f t="shared" si="0"/>
        <v>40675</v>
      </c>
      <c r="T3" s="65">
        <f t="shared" si="0"/>
        <v>40706</v>
      </c>
      <c r="U3" s="64">
        <f t="shared" si="0"/>
        <v>40737</v>
      </c>
      <c r="V3" s="64">
        <f t="shared" ref="V3:AO3" si="1">U3+31</f>
        <v>40768</v>
      </c>
      <c r="W3" s="64">
        <f t="shared" si="1"/>
        <v>40799</v>
      </c>
      <c r="X3" s="64">
        <f t="shared" si="1"/>
        <v>40830</v>
      </c>
      <c r="Y3" s="64">
        <f t="shared" si="1"/>
        <v>40861</v>
      </c>
      <c r="Z3" s="64">
        <f t="shared" si="1"/>
        <v>40892</v>
      </c>
      <c r="AA3" s="64">
        <f t="shared" si="1"/>
        <v>40923</v>
      </c>
      <c r="AB3" s="64">
        <f t="shared" si="1"/>
        <v>40954</v>
      </c>
      <c r="AC3" s="64">
        <f t="shared" si="1"/>
        <v>40985</v>
      </c>
      <c r="AD3" s="64">
        <f t="shared" si="1"/>
        <v>41016</v>
      </c>
      <c r="AE3" s="64">
        <f t="shared" si="1"/>
        <v>41047</v>
      </c>
      <c r="AF3" s="64">
        <f t="shared" si="1"/>
        <v>41078</v>
      </c>
      <c r="AG3" s="64">
        <f t="shared" si="1"/>
        <v>41109</v>
      </c>
      <c r="AH3" s="64">
        <f t="shared" si="1"/>
        <v>41140</v>
      </c>
      <c r="AI3" s="64">
        <f t="shared" si="1"/>
        <v>41171</v>
      </c>
      <c r="AJ3" s="64">
        <f t="shared" si="1"/>
        <v>41202</v>
      </c>
      <c r="AK3" s="64">
        <f t="shared" si="1"/>
        <v>41233</v>
      </c>
      <c r="AL3" s="64">
        <f t="shared" si="1"/>
        <v>41264</v>
      </c>
      <c r="AM3" s="64">
        <f t="shared" si="1"/>
        <v>41295</v>
      </c>
      <c r="AN3" s="64">
        <f t="shared" si="1"/>
        <v>41326</v>
      </c>
      <c r="AO3" s="64">
        <f t="shared" si="1"/>
        <v>41357</v>
      </c>
      <c r="AP3" s="55"/>
      <c r="AQ3" s="54" t="s">
        <v>3</v>
      </c>
      <c r="AR3" s="5" t="s">
        <v>144</v>
      </c>
    </row>
    <row r="4" spans="1:44" ht="15.75" hidden="1" customHeight="1" x14ac:dyDescent="0.25">
      <c r="A4" s="5" t="s">
        <v>1</v>
      </c>
      <c r="AP4" s="20"/>
    </row>
    <row r="5" spans="1:44" ht="15.75" hidden="1" customHeight="1" x14ac:dyDescent="0.25">
      <c r="A5" s="5" t="s">
        <v>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 s="20"/>
      <c r="AQ5" s="3" t="s">
        <v>1</v>
      </c>
    </row>
    <row r="6" spans="1:44" ht="15.75" hidden="1" customHeight="1" x14ac:dyDescent="0.25">
      <c r="A6" s="5" t="s">
        <v>5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 s="20"/>
      <c r="AQ6" s="3" t="s">
        <v>1</v>
      </c>
    </row>
    <row r="7" spans="1:44" ht="15.75" hidden="1" customHeight="1" x14ac:dyDescent="0.25">
      <c r="A7" s="5" t="s">
        <v>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 s="20"/>
      <c r="AQ7" s="3" t="s">
        <v>1</v>
      </c>
    </row>
    <row r="8" spans="1:44" ht="15.75" hidden="1" customHeight="1" x14ac:dyDescent="0.25">
      <c r="A8" s="5" t="s">
        <v>7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 s="20"/>
      <c r="AQ8" s="3" t="s">
        <v>1</v>
      </c>
    </row>
    <row r="9" spans="1:44" ht="15.75" hidden="1" customHeight="1" x14ac:dyDescent="0.25">
      <c r="A9" s="5" t="s">
        <v>8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 s="20"/>
      <c r="AQ9" s="3" t="s">
        <v>1</v>
      </c>
    </row>
    <row r="10" spans="1:44" ht="15.75" hidden="1" customHeight="1" x14ac:dyDescent="0.25">
      <c r="A10" s="5" t="s">
        <v>9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 s="20"/>
      <c r="AQ10" s="3" t="s">
        <v>1</v>
      </c>
    </row>
    <row r="11" spans="1:44" ht="15.75" hidden="1" customHeight="1" x14ac:dyDescent="0.25">
      <c r="A11" s="5" t="s">
        <v>10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 s="20"/>
      <c r="AQ11" s="3" t="s">
        <v>1</v>
      </c>
    </row>
    <row r="12" spans="1:44" ht="15.75" hidden="1" customHeight="1" x14ac:dyDescent="0.25">
      <c r="A12" s="5" t="s">
        <v>11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 s="20"/>
      <c r="AQ12" s="3" t="s">
        <v>1</v>
      </c>
    </row>
    <row r="13" spans="1:44" ht="15.75" hidden="1" customHeight="1" x14ac:dyDescent="0.25">
      <c r="A13" s="5" t="s">
        <v>12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 s="20"/>
      <c r="AQ13" s="3" t="s">
        <v>1</v>
      </c>
    </row>
    <row r="14" spans="1:44" ht="15.75" hidden="1" customHeight="1" x14ac:dyDescent="0.25">
      <c r="A14" s="5" t="s">
        <v>13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 s="20"/>
      <c r="AQ14" s="3" t="s">
        <v>1</v>
      </c>
    </row>
    <row r="15" spans="1:44" ht="15.75" hidden="1" customHeight="1" x14ac:dyDescent="0.25">
      <c r="A15" s="5" t="s">
        <v>14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 s="20"/>
      <c r="AQ15" s="3" t="s">
        <v>1</v>
      </c>
    </row>
    <row r="16" spans="1:44" ht="20.25" hidden="1" customHeight="1" x14ac:dyDescent="0.25">
      <c r="A16" s="5"/>
      <c r="AP16" s="20"/>
      <c r="AQ16" s="3" t="s">
        <v>15</v>
      </c>
    </row>
    <row r="17" spans="1:43" ht="15.75" customHeight="1" x14ac:dyDescent="0.25">
      <c r="A17" s="71" t="s">
        <v>195</v>
      </c>
      <c r="B17" s="19"/>
      <c r="C17" s="39"/>
      <c r="D17" s="1"/>
      <c r="E17" s="1"/>
      <c r="F17" s="1"/>
      <c r="G17" s="1">
        <v>100010</v>
      </c>
      <c r="H17" s="1">
        <v>248685</v>
      </c>
      <c r="I17" s="1">
        <v>469357</v>
      </c>
      <c r="J17" s="1">
        <v>193945.87</v>
      </c>
      <c r="K17" s="1">
        <v>245242</v>
      </c>
      <c r="L17" s="1">
        <f>247891.98</f>
        <v>247891.98</v>
      </c>
      <c r="M17" s="1">
        <v>272606</v>
      </c>
      <c r="N17" s="1">
        <v>210538.4</v>
      </c>
      <c r="O17" s="1">
        <f>75380.37</f>
        <v>75380.37</v>
      </c>
      <c r="P17" s="37">
        <f>226189.44</f>
        <v>226189.44</v>
      </c>
      <c r="Q17" s="37">
        <v>91646.3</v>
      </c>
      <c r="R17" s="37">
        <f>210699.43</f>
        <v>210699.43</v>
      </c>
      <c r="S17" s="37">
        <v>331991.95</v>
      </c>
      <c r="T17" s="37">
        <v>238280</v>
      </c>
      <c r="U17" s="37">
        <f>214681.68</f>
        <v>214681.68</v>
      </c>
      <c r="V17" s="37">
        <v>401658.96</v>
      </c>
      <c r="W17" s="37">
        <f>AVERAGE(S17:V17)</f>
        <v>296653.14749999996</v>
      </c>
      <c r="X17" s="37">
        <v>278274.33</v>
      </c>
      <c r="Y17" s="37">
        <f>251367.96+100</f>
        <v>251467.96</v>
      </c>
      <c r="Z17" s="37">
        <f>AVERAGE(W17:Y17)</f>
        <v>275465.14583333331</v>
      </c>
      <c r="AA17" s="37">
        <v>106571.69</v>
      </c>
      <c r="AB17" s="37">
        <v>208494.87</v>
      </c>
      <c r="AC17" s="37">
        <v>123717.08</v>
      </c>
      <c r="AD17" s="37">
        <v>19542.66</v>
      </c>
      <c r="AE17" s="37">
        <f>14357.84+100</f>
        <v>14457.84</v>
      </c>
      <c r="AF17" s="37">
        <f>53831.6</f>
        <v>53831.6</v>
      </c>
      <c r="AG17" s="77">
        <f>57327.24</f>
        <v>57327.24</v>
      </c>
      <c r="AH17" s="37">
        <f>31099.56</f>
        <v>31099.56</v>
      </c>
      <c r="AI17" s="77">
        <f>33821.81</f>
        <v>33821.81</v>
      </c>
      <c r="AJ17" s="77">
        <v>20724.650000000001</v>
      </c>
      <c r="AK17" s="37">
        <f t="shared" ref="AK17:AO17" si="2">AVERAGE(AH17:AJ17)</f>
        <v>28548.673333333329</v>
      </c>
      <c r="AL17" s="37">
        <f t="shared" si="2"/>
        <v>27698.377777777776</v>
      </c>
      <c r="AM17" s="37">
        <f t="shared" si="2"/>
        <v>25657.233703703703</v>
      </c>
      <c r="AN17" s="37">
        <f t="shared" si="2"/>
        <v>27301.428271604935</v>
      </c>
      <c r="AO17" s="37">
        <f t="shared" si="2"/>
        <v>26885.67991769547</v>
      </c>
      <c r="AP17" s="19"/>
    </row>
    <row r="18" spans="1:43" ht="15.75" customHeight="1" x14ac:dyDescent="0.25">
      <c r="A18" s="71" t="s">
        <v>196</v>
      </c>
      <c r="B18" s="19"/>
      <c r="C18" s="39"/>
      <c r="D18" s="1"/>
      <c r="E18" s="1"/>
      <c r="F18" s="1"/>
      <c r="G18" s="1"/>
      <c r="H18" s="1"/>
      <c r="I18" s="1"/>
      <c r="J18" s="1"/>
      <c r="K18" s="1"/>
      <c r="L18" s="1"/>
      <c r="M18" s="1"/>
      <c r="N18" s="1">
        <v>0</v>
      </c>
      <c r="O18" s="1">
        <v>230</v>
      </c>
      <c r="P18" s="1">
        <f>1285.04</f>
        <v>1285.04</v>
      </c>
      <c r="Q18" s="1">
        <v>1325</v>
      </c>
      <c r="R18" s="1">
        <v>1315.15</v>
      </c>
      <c r="S18" s="1">
        <v>1305.2</v>
      </c>
      <c r="T18" s="1">
        <v>1305.21</v>
      </c>
      <c r="U18" s="1">
        <f t="shared" ref="U18:AO18" si="3">T18</f>
        <v>1305.21</v>
      </c>
      <c r="V18" s="1">
        <v>1505.21</v>
      </c>
      <c r="W18" s="1">
        <f t="shared" si="3"/>
        <v>1505.21</v>
      </c>
      <c r="X18" s="1">
        <v>1505.21</v>
      </c>
      <c r="Y18" s="1">
        <v>1467.71</v>
      </c>
      <c r="Z18" s="1">
        <v>1468</v>
      </c>
      <c r="AA18" s="1">
        <f>250</f>
        <v>250</v>
      </c>
      <c r="AB18" s="1">
        <f>AA18</f>
        <v>250</v>
      </c>
      <c r="AC18" s="1">
        <f t="shared" si="3"/>
        <v>250</v>
      </c>
      <c r="AD18" s="1">
        <v>1572.71</v>
      </c>
      <c r="AE18" s="1">
        <f t="shared" si="3"/>
        <v>1572.71</v>
      </c>
      <c r="AF18" s="1">
        <f t="shared" si="3"/>
        <v>1572.71</v>
      </c>
      <c r="AG18" s="72">
        <f t="shared" si="3"/>
        <v>1572.71</v>
      </c>
      <c r="AH18" s="1">
        <f t="shared" si="3"/>
        <v>1572.71</v>
      </c>
      <c r="AI18" s="72">
        <f t="shared" si="3"/>
        <v>1572.71</v>
      </c>
      <c r="AJ18" s="72">
        <f t="shared" si="3"/>
        <v>1572.71</v>
      </c>
      <c r="AK18" s="1">
        <f t="shared" si="3"/>
        <v>1572.71</v>
      </c>
      <c r="AL18" s="1">
        <f t="shared" si="3"/>
        <v>1572.71</v>
      </c>
      <c r="AM18" s="1">
        <f t="shared" si="3"/>
        <v>1572.71</v>
      </c>
      <c r="AN18" s="1">
        <f t="shared" si="3"/>
        <v>1572.71</v>
      </c>
      <c r="AO18" s="1">
        <f t="shared" si="3"/>
        <v>1572.71</v>
      </c>
      <c r="AP18" s="19"/>
    </row>
    <row r="19" spans="1:43" ht="15.75" customHeight="1" x14ac:dyDescent="0.25">
      <c r="A19" s="71" t="s">
        <v>197</v>
      </c>
      <c r="B19" s="19"/>
      <c r="C19" s="39"/>
      <c r="D19" s="1"/>
      <c r="E19" s="1"/>
      <c r="F19" s="1"/>
      <c r="G19" s="1"/>
      <c r="H19" s="1"/>
      <c r="I19" s="1"/>
      <c r="J19" s="1"/>
      <c r="K19" s="1"/>
      <c r="L19" s="1"/>
      <c r="M19" s="1"/>
      <c r="N19" s="1">
        <v>0</v>
      </c>
      <c r="O19" s="1"/>
      <c r="P19" s="1"/>
      <c r="Q19" s="1"/>
      <c r="R19" s="1">
        <v>2164.96</v>
      </c>
      <c r="S19" s="1">
        <v>2739.38</v>
      </c>
      <c r="T19" s="1">
        <f>4346.88</f>
        <v>4346.88</v>
      </c>
      <c r="U19" s="1">
        <f>5930.36</f>
        <v>5930.36</v>
      </c>
      <c r="V19" s="1">
        <v>8302.16</v>
      </c>
      <c r="W19" s="1">
        <f>V19+V52</f>
        <v>10673.96</v>
      </c>
      <c r="X19" s="1"/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728.23</v>
      </c>
      <c r="AE19" s="1">
        <f>937.64</f>
        <v>937.64</v>
      </c>
      <c r="AF19" s="1">
        <f>AE19+209</f>
        <v>1146.6399999999999</v>
      </c>
      <c r="AG19" s="72">
        <f t="shared" ref="AG19:AH19" si="4">AF19+209</f>
        <v>1355.6399999999999</v>
      </c>
      <c r="AH19" s="1">
        <f t="shared" si="4"/>
        <v>1564.6399999999999</v>
      </c>
      <c r="AI19" s="72">
        <f>1979.78</f>
        <v>1979.78</v>
      </c>
      <c r="AJ19" s="72">
        <f t="shared" ref="AJ19:AO19" si="5">AI19+209</f>
        <v>2188.7799999999997</v>
      </c>
      <c r="AK19" s="1">
        <f t="shared" si="5"/>
        <v>2397.7799999999997</v>
      </c>
      <c r="AL19" s="1">
        <f t="shared" si="5"/>
        <v>2606.7799999999997</v>
      </c>
      <c r="AM19" s="1">
        <f t="shared" si="5"/>
        <v>2815.7799999999997</v>
      </c>
      <c r="AN19" s="1">
        <f t="shared" si="5"/>
        <v>3024.7799999999997</v>
      </c>
      <c r="AO19" s="1">
        <f t="shared" si="5"/>
        <v>3233.7799999999997</v>
      </c>
      <c r="AP19" s="19"/>
    </row>
    <row r="20" spans="1:43" ht="15.75" hidden="1" customHeight="1" x14ac:dyDescent="0.25">
      <c r="A20" s="5"/>
      <c r="B20" s="19"/>
      <c r="C20" s="39"/>
      <c r="D20" s="39"/>
      <c r="E20" s="39"/>
      <c r="F20" s="39"/>
      <c r="G20" s="39"/>
      <c r="H20" s="39"/>
      <c r="I20" s="39">
        <f>350+10040+5020+5020</f>
        <v>20430</v>
      </c>
      <c r="J20" s="39">
        <f>622</f>
        <v>622</v>
      </c>
      <c r="K20" s="39">
        <f>J46+J47</f>
        <v>672834</v>
      </c>
      <c r="L20" s="39">
        <f>672414.33+(622*3)+22296</f>
        <v>696576.33</v>
      </c>
      <c r="M20" s="39">
        <v>672528.55</v>
      </c>
      <c r="N20" s="39">
        <f>672639.1</f>
        <v>672639.1</v>
      </c>
      <c r="O20" s="39">
        <v>672753.36</v>
      </c>
      <c r="P20" s="39">
        <f>O20+O46+O47-O109</f>
        <v>673375.36</v>
      </c>
      <c r="Q20" s="39">
        <v>672970.87</v>
      </c>
      <c r="R20" s="39">
        <v>673085.18</v>
      </c>
      <c r="S20" s="39">
        <v>558505.92000000004</v>
      </c>
      <c r="T20" s="39"/>
      <c r="U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5"/>
      <c r="AH20" s="72"/>
      <c r="AI20" s="78"/>
      <c r="AJ20" s="72"/>
      <c r="AK20" s="72"/>
      <c r="AL20" s="72"/>
      <c r="AM20" s="72"/>
      <c r="AN20" s="72"/>
      <c r="AO20" s="72"/>
      <c r="AP20" s="56"/>
    </row>
    <row r="21" spans="1:43" ht="15.75" customHeight="1" x14ac:dyDescent="0.25">
      <c r="A21" s="71" t="s">
        <v>191</v>
      </c>
      <c r="B21" s="19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W21" s="72"/>
      <c r="X21" s="72"/>
      <c r="Y21" s="72"/>
      <c r="Z21" s="72"/>
      <c r="AA21" s="72"/>
      <c r="AB21" s="72"/>
      <c r="AC21" s="72"/>
      <c r="AD21" s="72">
        <v>100000</v>
      </c>
      <c r="AE21" s="72">
        <f>AD21</f>
        <v>100000</v>
      </c>
      <c r="AF21" s="72">
        <f t="shared" ref="AF21:AI21" si="6">AE21</f>
        <v>100000</v>
      </c>
      <c r="AG21" s="72">
        <f t="shared" si="6"/>
        <v>100000</v>
      </c>
      <c r="AH21" s="72">
        <f t="shared" si="6"/>
        <v>100000</v>
      </c>
      <c r="AI21" s="72">
        <f t="shared" si="6"/>
        <v>100000</v>
      </c>
      <c r="AJ21" s="72">
        <f t="shared" ref="AJ21:AO21" si="7">AI21</f>
        <v>100000</v>
      </c>
      <c r="AK21" s="72">
        <f t="shared" si="7"/>
        <v>100000</v>
      </c>
      <c r="AL21" s="72">
        <f t="shared" si="7"/>
        <v>100000</v>
      </c>
      <c r="AM21" s="72">
        <f t="shared" si="7"/>
        <v>100000</v>
      </c>
      <c r="AN21" s="72">
        <f t="shared" si="7"/>
        <v>100000</v>
      </c>
      <c r="AO21" s="72">
        <f t="shared" si="7"/>
        <v>100000</v>
      </c>
      <c r="AP21" s="73"/>
    </row>
    <row r="22" spans="1:43" ht="15.75" customHeight="1" x14ac:dyDescent="0.25">
      <c r="A22" s="71" t="s">
        <v>192</v>
      </c>
      <c r="B22" s="19"/>
      <c r="C22" s="56"/>
      <c r="D22" s="56"/>
      <c r="E22" s="56"/>
      <c r="F22" s="56"/>
      <c r="G22" s="56" t="e">
        <f>1349892-#REF!-G18</f>
        <v>#REF!</v>
      </c>
      <c r="H22" s="56" t="e">
        <f>1550443-#REF!-H18</f>
        <v>#REF!</v>
      </c>
      <c r="I22" s="56" t="e">
        <f>H123-I17-#REF!-I18-I23-I20-H105-H104</f>
        <v>#REF!</v>
      </c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>
        <v>18100</v>
      </c>
      <c r="AE22" s="56">
        <f>AD22</f>
        <v>18100</v>
      </c>
      <c r="AF22" s="73">
        <f t="shared" ref="AF22:AI22" si="8">AE22</f>
        <v>18100</v>
      </c>
      <c r="AG22" s="73">
        <f t="shared" si="8"/>
        <v>18100</v>
      </c>
      <c r="AH22" s="73">
        <f t="shared" si="8"/>
        <v>18100</v>
      </c>
      <c r="AI22" s="73">
        <f t="shared" si="8"/>
        <v>18100</v>
      </c>
      <c r="AJ22" s="73">
        <f t="shared" ref="AJ22:AO22" si="9">AI22</f>
        <v>18100</v>
      </c>
      <c r="AK22" s="73">
        <f t="shared" si="9"/>
        <v>18100</v>
      </c>
      <c r="AL22" s="73">
        <f t="shared" si="9"/>
        <v>18100</v>
      </c>
      <c r="AM22" s="73">
        <f t="shared" si="9"/>
        <v>18100</v>
      </c>
      <c r="AN22" s="73">
        <f t="shared" si="9"/>
        <v>18100</v>
      </c>
      <c r="AO22" s="73">
        <f t="shared" si="9"/>
        <v>18100</v>
      </c>
      <c r="AP22" s="56"/>
    </row>
    <row r="23" spans="1:43" ht="15.75" customHeight="1" x14ac:dyDescent="0.25">
      <c r="A23" s="71" t="s">
        <v>193</v>
      </c>
      <c r="B23" s="19"/>
      <c r="C23" s="39"/>
      <c r="D23" s="39"/>
      <c r="E23" s="39"/>
      <c r="F23" s="39"/>
      <c r="G23" s="39">
        <v>157609.32</v>
      </c>
      <c r="H23" s="39">
        <f>G23+G45</f>
        <v>205507.81</v>
      </c>
      <c r="I23" s="39">
        <f>H23+H45</f>
        <v>257678.84</v>
      </c>
      <c r="J23" s="39">
        <v>311155.71999999997</v>
      </c>
      <c r="K23" s="39">
        <v>369251.34</v>
      </c>
      <c r="L23" s="39">
        <f>428000.94</f>
        <v>428000.94</v>
      </c>
      <c r="M23" s="39">
        <v>487997.95</v>
      </c>
      <c r="N23" s="39">
        <f>551042.95</f>
        <v>551042.94999999995</v>
      </c>
      <c r="O23" s="39">
        <f>N23+N45</f>
        <v>617869.94999999995</v>
      </c>
      <c r="P23" s="39">
        <v>682934.7</v>
      </c>
      <c r="Q23" s="39">
        <v>743367.73</v>
      </c>
      <c r="R23" s="39">
        <v>810486.5</v>
      </c>
      <c r="S23" s="39">
        <v>889401.46</v>
      </c>
      <c r="T23" s="39">
        <f>832415.04+125000</f>
        <v>957415.04</v>
      </c>
      <c r="U23" s="39">
        <f>899088.57+125000</f>
        <v>1024088.57</v>
      </c>
      <c r="V23" s="39">
        <f>969387.97+125000</f>
        <v>1094387.97</v>
      </c>
      <c r="W23" s="39">
        <v>1167322.8500000001</v>
      </c>
      <c r="X23" s="39">
        <v>1244584</v>
      </c>
      <c r="Y23" s="39">
        <v>1326369.7</v>
      </c>
      <c r="Z23" s="39">
        <v>1404351.27</v>
      </c>
      <c r="AA23" s="39">
        <v>1485419.47</v>
      </c>
      <c r="AB23" s="69">
        <v>1567866.7700000003</v>
      </c>
      <c r="AC23" s="39">
        <v>1658607.01</v>
      </c>
      <c r="AD23" s="39">
        <v>1753733.52</v>
      </c>
      <c r="AE23" s="39">
        <v>1849259.07</v>
      </c>
      <c r="AF23" s="39">
        <v>1932126.94</v>
      </c>
      <c r="AG23" s="72">
        <f>2021631.14</f>
        <v>2021631.14</v>
      </c>
      <c r="AH23" s="72">
        <f>2109064</f>
        <v>2109064</v>
      </c>
      <c r="AI23" s="72">
        <v>2203807.0699999998</v>
      </c>
      <c r="AJ23" s="72">
        <v>2296080.27</v>
      </c>
      <c r="AK23" s="72">
        <f t="shared" ref="AK23:AO23" si="10">AJ23+AJ45</f>
        <v>2384705.77</v>
      </c>
      <c r="AL23" s="72">
        <f t="shared" si="10"/>
        <v>2474285.27</v>
      </c>
      <c r="AM23" s="72">
        <f t="shared" si="10"/>
        <v>2564182.77</v>
      </c>
      <c r="AN23" s="72">
        <f t="shared" si="10"/>
        <v>2654557.27</v>
      </c>
      <c r="AO23" s="72">
        <f t="shared" si="10"/>
        <v>2745408.77</v>
      </c>
      <c r="AP23" s="56"/>
    </row>
    <row r="24" spans="1:43" ht="15.75" customHeight="1" x14ac:dyDescent="0.25">
      <c r="A24" s="71" t="s">
        <v>194</v>
      </c>
      <c r="B24" s="19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69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3"/>
    </row>
    <row r="25" spans="1:43" ht="15.75" customHeight="1" x14ac:dyDescent="0.25">
      <c r="A25" s="5" t="s">
        <v>163</v>
      </c>
      <c r="B25" s="19"/>
      <c r="C25" s="56"/>
      <c r="D25" s="56"/>
      <c r="E25" s="56"/>
      <c r="F25" s="56"/>
      <c r="G25" s="56"/>
      <c r="H25" s="56"/>
      <c r="I25" s="56"/>
      <c r="J25" s="56"/>
      <c r="K25" s="56"/>
      <c r="L25" s="56">
        <v>52112</v>
      </c>
      <c r="M25" s="56">
        <v>41331.61</v>
      </c>
      <c r="N25" s="56">
        <v>419159.19</v>
      </c>
      <c r="O25" s="56">
        <f>N25-N101</f>
        <v>408379.19</v>
      </c>
      <c r="P25" s="56">
        <f>O25-O101</f>
        <v>408379.19</v>
      </c>
      <c r="Q25" s="56">
        <v>408378.77</v>
      </c>
      <c r="R25" s="56">
        <v>408378.77</v>
      </c>
      <c r="S25" s="56">
        <v>366757.57</v>
      </c>
      <c r="T25" s="56">
        <v>366757.57</v>
      </c>
      <c r="U25" s="56">
        <f>T25-T101</f>
        <v>355976.94</v>
      </c>
      <c r="V25" s="56">
        <f>U25-U101</f>
        <v>345196.31</v>
      </c>
      <c r="W25" s="56">
        <v>334416.34000000003</v>
      </c>
      <c r="X25" s="56">
        <v>323635.92999999988</v>
      </c>
      <c r="Y25" s="56">
        <f>X25-X101</f>
        <v>312855.29999999987</v>
      </c>
      <c r="Z25" s="56">
        <f>Y25-Y101</f>
        <v>302074.66999999987</v>
      </c>
      <c r="AA25" s="56">
        <f>Z25-Z101</f>
        <v>291294.03999999986</v>
      </c>
      <c r="AB25" s="70">
        <v>269734</v>
      </c>
      <c r="AC25" s="56">
        <v>269733.88</v>
      </c>
      <c r="AD25" s="56">
        <f t="shared" ref="AD25:AJ25" si="11">AC25-AC101</f>
        <v>258953.47</v>
      </c>
      <c r="AE25" s="56">
        <f t="shared" si="11"/>
        <v>248173.06</v>
      </c>
      <c r="AF25" s="56">
        <f t="shared" si="11"/>
        <v>237392.65</v>
      </c>
      <c r="AG25" s="73">
        <f t="shared" si="11"/>
        <v>226612.24</v>
      </c>
      <c r="AH25" s="73">
        <f t="shared" si="11"/>
        <v>215831.83</v>
      </c>
      <c r="AI25" s="73">
        <f t="shared" si="11"/>
        <v>205051.41999999998</v>
      </c>
      <c r="AJ25" s="73">
        <f t="shared" si="11"/>
        <v>194271.00999999998</v>
      </c>
      <c r="AK25" s="73">
        <f t="shared" ref="AK25:AO25" si="12">AJ25-AJ101</f>
        <v>183490.59999999998</v>
      </c>
      <c r="AL25" s="73">
        <f t="shared" si="12"/>
        <v>172710.18999999997</v>
      </c>
      <c r="AM25" s="73">
        <f t="shared" si="12"/>
        <v>161929.77999999997</v>
      </c>
      <c r="AN25" s="73">
        <f t="shared" si="12"/>
        <v>151149.36999999997</v>
      </c>
      <c r="AO25" s="73">
        <f t="shared" si="12"/>
        <v>140368.95999999996</v>
      </c>
      <c r="AP25" s="56"/>
    </row>
    <row r="26" spans="1:43" ht="15.75" hidden="1" customHeight="1" x14ac:dyDescent="0.25">
      <c r="A26" s="5" t="s">
        <v>164</v>
      </c>
      <c r="B26" s="19"/>
      <c r="C26" s="56"/>
      <c r="D26" s="56"/>
      <c r="E26" s="56"/>
      <c r="F26" s="56"/>
      <c r="G26" s="56"/>
      <c r="H26" s="56"/>
      <c r="I26" s="56"/>
      <c r="J26" s="56"/>
      <c r="K26" s="56"/>
      <c r="L26" s="56">
        <f>520887+16241</f>
        <v>537128</v>
      </c>
      <c r="M26" s="56">
        <v>272461.74</v>
      </c>
      <c r="N26" s="56">
        <v>154512.53</v>
      </c>
      <c r="O26" s="56">
        <v>59534.36</v>
      </c>
      <c r="P26" s="56">
        <f>368230.84-283597</f>
        <v>84633.840000000026</v>
      </c>
      <c r="Q26" s="56">
        <v>349867.66</v>
      </c>
      <c r="R26" s="56">
        <v>349867.66</v>
      </c>
      <c r="S26" s="56">
        <v>293240.90999999997</v>
      </c>
      <c r="T26" s="56">
        <v>76814.41</v>
      </c>
      <c r="U26" s="56">
        <v>348815</v>
      </c>
      <c r="V26" s="56">
        <v>312219.5</v>
      </c>
      <c r="W26" s="56">
        <v>235803</v>
      </c>
      <c r="X26" s="56">
        <v>0</v>
      </c>
      <c r="Y26" s="56">
        <v>0</v>
      </c>
      <c r="Z26" s="56">
        <v>0</v>
      </c>
      <c r="AA26" s="56">
        <v>0</v>
      </c>
      <c r="AB26" s="73">
        <v>0</v>
      </c>
      <c r="AC26" s="56">
        <v>0</v>
      </c>
      <c r="AD26" s="56">
        <v>0</v>
      </c>
      <c r="AE26" s="56">
        <v>0</v>
      </c>
      <c r="AF26" s="56">
        <v>0</v>
      </c>
      <c r="AG26" s="48">
        <v>0</v>
      </c>
      <c r="AH26" s="73">
        <v>0</v>
      </c>
      <c r="AI26" s="79">
        <v>0</v>
      </c>
      <c r="AJ26" s="79">
        <v>0</v>
      </c>
      <c r="AK26" s="73">
        <v>0</v>
      </c>
      <c r="AL26" s="73">
        <v>0</v>
      </c>
      <c r="AM26" s="73">
        <v>0</v>
      </c>
      <c r="AN26" s="73">
        <v>0</v>
      </c>
      <c r="AO26" s="73">
        <v>0</v>
      </c>
      <c r="AP26" s="56"/>
      <c r="AQ26" s="67"/>
    </row>
    <row r="27" spans="1:43" ht="15.75" customHeight="1" x14ac:dyDescent="0.25">
      <c r="A27" s="71" t="s">
        <v>208</v>
      </c>
      <c r="B27" s="19"/>
      <c r="C27" s="56"/>
      <c r="D27" s="56"/>
      <c r="E27" s="56"/>
      <c r="F27" s="56"/>
      <c r="G27" s="56"/>
      <c r="H27" s="56"/>
      <c r="I27" s="56"/>
      <c r="J27" s="56">
        <v>1359560</v>
      </c>
      <c r="K27" s="56">
        <f t="shared" ref="K27:Q27" si="13">J27</f>
        <v>1359560</v>
      </c>
      <c r="L27" s="56">
        <f t="shared" si="13"/>
        <v>1359560</v>
      </c>
      <c r="M27" s="56">
        <f t="shared" si="13"/>
        <v>1359560</v>
      </c>
      <c r="N27" s="56"/>
      <c r="O27" s="56">
        <f t="shared" si="13"/>
        <v>0</v>
      </c>
      <c r="P27" s="56">
        <f t="shared" si="13"/>
        <v>0</v>
      </c>
      <c r="Q27" s="56">
        <f t="shared" si="13"/>
        <v>0</v>
      </c>
      <c r="R27" s="56">
        <f>Q27</f>
        <v>0</v>
      </c>
      <c r="S27" s="56">
        <f>R27</f>
        <v>0</v>
      </c>
      <c r="T27" s="56">
        <f>S27</f>
        <v>0</v>
      </c>
      <c r="U27" s="56">
        <v>-248094</v>
      </c>
      <c r="V27" s="56">
        <v>-515644.03</v>
      </c>
      <c r="W27" s="56">
        <f>-232662-55617</f>
        <v>-288279</v>
      </c>
      <c r="X27" s="56">
        <v>-216786.82</v>
      </c>
      <c r="Y27" s="56">
        <v>0</v>
      </c>
      <c r="Z27" s="56">
        <f>-651721.57</f>
        <v>-651721.56999999995</v>
      </c>
      <c r="AA27" s="56">
        <f>-348325-5</f>
        <v>-348330</v>
      </c>
      <c r="AB27" s="73">
        <f>-314144.73</f>
        <v>-314144.73</v>
      </c>
      <c r="AC27" s="56">
        <v>268485</v>
      </c>
      <c r="AD27" s="73">
        <v>294288</v>
      </c>
      <c r="AE27" s="56">
        <f>228158</f>
        <v>228158</v>
      </c>
      <c r="AF27" s="56">
        <v>111375</v>
      </c>
      <c r="AG27" s="73">
        <v>3355</v>
      </c>
      <c r="AH27" s="73">
        <f>-208089.3-280000</f>
        <v>-488089.3</v>
      </c>
      <c r="AI27" s="73">
        <v>44893</v>
      </c>
      <c r="AJ27" s="73">
        <f>-543000</f>
        <v>-543000</v>
      </c>
      <c r="AK27" s="73">
        <f>-179000</f>
        <v>-179000</v>
      </c>
      <c r="AL27" s="73">
        <v>-471000</v>
      </c>
      <c r="AM27" s="73">
        <v>-415000</v>
      </c>
      <c r="AN27" s="73">
        <v>-415000</v>
      </c>
      <c r="AO27" s="73">
        <v>-416000</v>
      </c>
      <c r="AP27" s="56"/>
    </row>
    <row r="28" spans="1:43" ht="15.75" customHeight="1" x14ac:dyDescent="0.25">
      <c r="A28" s="71" t="s">
        <v>161</v>
      </c>
      <c r="B28" s="19"/>
      <c r="C28" s="73"/>
      <c r="D28" s="73"/>
      <c r="E28" s="73"/>
      <c r="F28" s="73"/>
      <c r="G28" s="73"/>
      <c r="H28" s="73"/>
      <c r="I28" s="73"/>
      <c r="J28" s="73">
        <v>2000000</v>
      </c>
      <c r="K28" s="73">
        <v>2000000</v>
      </c>
      <c r="L28" s="73">
        <v>1100000</v>
      </c>
      <c r="M28" s="73">
        <f>L28-L102</f>
        <v>1100000</v>
      </c>
      <c r="N28" s="73">
        <v>1292500</v>
      </c>
      <c r="O28" s="73">
        <f>N28-N102</f>
        <v>1292500</v>
      </c>
      <c r="P28" s="73">
        <f>O28-O102</f>
        <v>1292500</v>
      </c>
      <c r="Q28" s="73">
        <v>1279330.99</v>
      </c>
      <c r="R28" s="73">
        <v>1279330.99</v>
      </c>
      <c r="S28" s="73">
        <v>1268773.31</v>
      </c>
      <c r="T28" s="73">
        <v>1266362.17</v>
      </c>
      <c r="U28" s="73">
        <v>1254401.1299999999</v>
      </c>
      <c r="V28" s="73">
        <v>1242050</v>
      </c>
      <c r="W28" s="73">
        <v>1220967.8400000001</v>
      </c>
      <c r="X28" s="73">
        <v>1214751.9600000004</v>
      </c>
      <c r="Y28" s="73">
        <v>1214177.96</v>
      </c>
      <c r="Z28" s="73">
        <v>1211145.53</v>
      </c>
      <c r="AA28" s="73">
        <v>962205.19</v>
      </c>
      <c r="AB28" s="70">
        <v>1203855</v>
      </c>
      <c r="AC28" s="73">
        <f>1201581.53</f>
        <v>1201581.53</v>
      </c>
      <c r="AD28" s="73">
        <v>1200207.53</v>
      </c>
      <c r="AE28" s="73">
        <v>1198808.53</v>
      </c>
      <c r="AF28" s="73">
        <v>1196137</v>
      </c>
      <c r="AG28" s="73">
        <f>1196136.53</f>
        <v>1196136.53</v>
      </c>
      <c r="AH28" s="73">
        <v>1194338.53</v>
      </c>
      <c r="AI28" s="73">
        <f t="shared" ref="AI28:AO28" si="14">AH28-AH103</f>
        <v>1193439.53</v>
      </c>
      <c r="AJ28" s="73">
        <v>1192560.52</v>
      </c>
      <c r="AK28" s="73">
        <f t="shared" si="14"/>
        <v>1191661.52</v>
      </c>
      <c r="AL28" s="73">
        <f t="shared" si="14"/>
        <v>1191661.52</v>
      </c>
      <c r="AM28" s="73">
        <f t="shared" si="14"/>
        <v>1191661.52</v>
      </c>
      <c r="AN28" s="73">
        <f t="shared" si="14"/>
        <v>1191661.52</v>
      </c>
      <c r="AO28" s="73">
        <f t="shared" si="14"/>
        <v>1191661.52</v>
      </c>
      <c r="AP28" s="73"/>
    </row>
    <row r="29" spans="1:43" ht="15.75" customHeight="1" x14ac:dyDescent="0.25">
      <c r="A29" s="5" t="s">
        <v>162</v>
      </c>
      <c r="B29" s="19"/>
      <c r="C29" s="56"/>
      <c r="D29" s="56"/>
      <c r="E29" s="56"/>
      <c r="F29" s="56"/>
      <c r="G29" s="56"/>
      <c r="H29" s="56"/>
      <c r="I29" s="56"/>
      <c r="J29" s="56"/>
      <c r="K29" s="56"/>
      <c r="L29" s="56">
        <v>2486809.17</v>
      </c>
      <c r="M29" s="56">
        <v>2459567.08</v>
      </c>
      <c r="N29" s="56">
        <v>2405893.33</v>
      </c>
      <c r="O29" s="56">
        <v>2157325.8099999996</v>
      </c>
      <c r="P29" s="56">
        <f>O29-O104</f>
        <v>1866551.7499999995</v>
      </c>
      <c r="Q29" s="56">
        <v>1615814.61</v>
      </c>
      <c r="R29" s="56">
        <v>1615814.61</v>
      </c>
      <c r="S29" s="56">
        <v>1436152.47</v>
      </c>
      <c r="T29" s="56">
        <v>1373888.68</v>
      </c>
      <c r="U29" s="56">
        <v>1298947.26</v>
      </c>
      <c r="V29" s="56">
        <v>1121658.7</v>
      </c>
      <c r="W29" s="56">
        <v>1080748.05</v>
      </c>
      <c r="X29" s="56">
        <v>923963.76999999955</v>
      </c>
      <c r="Y29" s="56">
        <v>840085.47</v>
      </c>
      <c r="Z29" s="56">
        <v>787893.46</v>
      </c>
      <c r="AA29" s="56">
        <v>752180.66</v>
      </c>
      <c r="AB29" s="70">
        <v>743540</v>
      </c>
      <c r="AC29" s="56">
        <v>726716.81</v>
      </c>
      <c r="AD29" s="56">
        <v>721757.3</v>
      </c>
      <c r="AE29" s="56">
        <f>IF(AD29-AD104&lt;0,0,AD29-AD104)</f>
        <v>704893.3</v>
      </c>
      <c r="AF29" s="56">
        <v>702465.58</v>
      </c>
      <c r="AG29" s="73">
        <f>582190.06</f>
        <v>582190.06000000006</v>
      </c>
      <c r="AH29" s="73">
        <v>655373.13</v>
      </c>
      <c r="AI29" s="73">
        <v>630004.62999999977</v>
      </c>
      <c r="AJ29" s="73">
        <v>629342</v>
      </c>
      <c r="AK29" s="73">
        <f t="shared" ref="AK29:AO29" si="15">IF(AJ29-AJ104&lt;0,0,AJ29-AJ104)</f>
        <v>554342</v>
      </c>
      <c r="AL29" s="73">
        <f t="shared" si="15"/>
        <v>519342</v>
      </c>
      <c r="AM29" s="73">
        <f t="shared" si="15"/>
        <v>491342</v>
      </c>
      <c r="AN29" s="73">
        <f t="shared" si="15"/>
        <v>491342</v>
      </c>
      <c r="AO29" s="73">
        <f t="shared" si="15"/>
        <v>491342</v>
      </c>
      <c r="AP29" s="56"/>
    </row>
    <row r="30" spans="1:43" ht="15.75" hidden="1" customHeight="1" x14ac:dyDescent="0.25">
      <c r="A30" s="5" t="s">
        <v>165</v>
      </c>
      <c r="B30" s="19"/>
      <c r="C30" s="56"/>
      <c r="D30" s="56"/>
      <c r="E30" s="56"/>
      <c r="F30" s="56"/>
      <c r="G30" s="56"/>
      <c r="H30" s="56"/>
      <c r="I30" s="56"/>
      <c r="J30" s="56"/>
      <c r="K30" s="56"/>
      <c r="L30" s="56">
        <v>97581</v>
      </c>
      <c r="M30" s="56">
        <v>97581</v>
      </c>
      <c r="N30" s="56">
        <v>77105.98</v>
      </c>
      <c r="O30" s="56">
        <f>N30-O105</f>
        <v>77105.98</v>
      </c>
      <c r="P30" s="56">
        <f>O30-P105</f>
        <v>77105.98</v>
      </c>
      <c r="Q30" s="56">
        <f>P30-P105</f>
        <v>77105.98</v>
      </c>
      <c r="R30" s="56">
        <f>Q30-S105</f>
        <v>77105.98</v>
      </c>
      <c r="S30" s="56">
        <v>77105.08</v>
      </c>
      <c r="T30" s="56">
        <f>IF(S30-S105&lt;0,0,S30-S105)</f>
        <v>77105.08</v>
      </c>
      <c r="U30" s="56">
        <v>77105.08</v>
      </c>
      <c r="V30" s="56">
        <v>77036.5</v>
      </c>
      <c r="W30" s="56"/>
      <c r="X30" s="56"/>
      <c r="Y30" s="56"/>
      <c r="Z30" s="56"/>
      <c r="AA30" s="56"/>
      <c r="AB30" s="73"/>
      <c r="AC30" s="56"/>
      <c r="AD30" s="56"/>
      <c r="AE30" s="56"/>
      <c r="AF30" s="56"/>
      <c r="AG30" s="48"/>
      <c r="AH30" s="73"/>
      <c r="AI30" s="79"/>
      <c r="AJ30" s="79"/>
      <c r="AK30" s="73"/>
      <c r="AL30" s="73"/>
      <c r="AM30" s="73"/>
      <c r="AN30" s="73"/>
      <c r="AO30" s="73"/>
      <c r="AP30" s="56"/>
    </row>
    <row r="31" spans="1:43" ht="15.75" hidden="1" customHeight="1" x14ac:dyDescent="0.25">
      <c r="A31" s="5" t="s">
        <v>166</v>
      </c>
      <c r="B31" s="19"/>
      <c r="C31" s="56"/>
      <c r="D31" s="56"/>
      <c r="E31" s="56"/>
      <c r="F31" s="56"/>
      <c r="G31" s="56"/>
      <c r="H31" s="56"/>
      <c r="I31" s="56"/>
      <c r="J31" s="56"/>
      <c r="K31" s="56"/>
      <c r="L31" s="56">
        <f>239050</f>
        <v>239050</v>
      </c>
      <c r="M31" s="56">
        <f>L31-L106</f>
        <v>239050</v>
      </c>
      <c r="N31" s="56">
        <v>238899.77</v>
      </c>
      <c r="O31" s="56">
        <f>N31-N106</f>
        <v>238899.77</v>
      </c>
      <c r="P31" s="56">
        <f>O31-O106</f>
        <v>238899.77</v>
      </c>
      <c r="Q31" s="56">
        <f>P31-P106</f>
        <v>238899.77</v>
      </c>
      <c r="R31" s="56">
        <v>238900.74</v>
      </c>
      <c r="S31" s="56">
        <v>228441.74</v>
      </c>
      <c r="T31" s="56">
        <f>S31-S106</f>
        <v>223322.99</v>
      </c>
      <c r="U31" s="56">
        <f>T31-T106</f>
        <v>223322.99</v>
      </c>
      <c r="V31" s="56">
        <v>155402.99</v>
      </c>
      <c r="W31" s="56">
        <v>131499.74</v>
      </c>
      <c r="X31" s="56">
        <v>131499.74</v>
      </c>
      <c r="Y31" s="56">
        <f>X31-X106</f>
        <v>131499.74</v>
      </c>
      <c r="Z31" s="56">
        <f>Y31-Y106</f>
        <v>131499.74</v>
      </c>
      <c r="AA31" s="56">
        <v>119789.44</v>
      </c>
      <c r="AB31" s="73">
        <f>119789</f>
        <v>119789</v>
      </c>
      <c r="AC31" s="56">
        <v>68719.44</v>
      </c>
      <c r="AD31" s="56">
        <v>65295.74</v>
      </c>
      <c r="AE31" s="56">
        <f>AD31-AD106</f>
        <v>56716.74</v>
      </c>
      <c r="AF31" s="56">
        <v>0</v>
      </c>
      <c r="AG31" s="48">
        <f t="shared" ref="AG31:AO32" si="16">AF31-AF106</f>
        <v>0</v>
      </c>
      <c r="AH31" s="73">
        <f t="shared" si="16"/>
        <v>0</v>
      </c>
      <c r="AI31" s="79">
        <f t="shared" si="16"/>
        <v>0</v>
      </c>
      <c r="AJ31" s="79">
        <f t="shared" si="16"/>
        <v>0</v>
      </c>
      <c r="AK31" s="73">
        <f t="shared" si="16"/>
        <v>0</v>
      </c>
      <c r="AL31" s="73">
        <f t="shared" si="16"/>
        <v>0</v>
      </c>
      <c r="AM31" s="73">
        <f t="shared" si="16"/>
        <v>0</v>
      </c>
      <c r="AN31" s="73">
        <f t="shared" si="16"/>
        <v>0</v>
      </c>
      <c r="AO31" s="73">
        <f t="shared" si="16"/>
        <v>0</v>
      </c>
      <c r="AP31" s="56"/>
    </row>
    <row r="32" spans="1:43" ht="15.75" customHeight="1" x14ac:dyDescent="0.25">
      <c r="A32" s="5" t="s">
        <v>177</v>
      </c>
      <c r="B32" s="19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>
        <f>607452.32</f>
        <v>607452.31999999995</v>
      </c>
      <c r="O32" s="56">
        <v>607452.34</v>
      </c>
      <c r="P32" s="56">
        <f>N32</f>
        <v>607452.31999999995</v>
      </c>
      <c r="Q32" s="56">
        <v>580567.47</v>
      </c>
      <c r="R32" s="56">
        <v>580567.47</v>
      </c>
      <c r="S32" s="56">
        <f>R32</f>
        <v>580567.47</v>
      </c>
      <c r="T32" s="56">
        <v>501635.34</v>
      </c>
      <c r="U32" s="56">
        <v>501535.34</v>
      </c>
      <c r="V32" s="56">
        <v>423831.42</v>
      </c>
      <c r="W32" s="56">
        <f>422797.96+77037+171000</f>
        <v>670834.96</v>
      </c>
      <c r="X32" s="56">
        <v>247226.22999999992</v>
      </c>
      <c r="Y32" s="56">
        <v>247226.23</v>
      </c>
      <c r="Z32" s="56">
        <v>232534.68</v>
      </c>
      <c r="AA32" s="56">
        <v>210469.29</v>
      </c>
      <c r="AB32" s="73">
        <f>248363.43</f>
        <v>248363.43</v>
      </c>
      <c r="AC32" s="56">
        <v>196321.64</v>
      </c>
      <c r="AD32" s="56">
        <v>187017.02</v>
      </c>
      <c r="AE32" s="56">
        <v>177947.7</v>
      </c>
      <c r="AF32" s="56">
        <v>149250</v>
      </c>
      <c r="AG32" s="73">
        <f>150702.79</f>
        <v>150702.79</v>
      </c>
      <c r="AH32" s="73">
        <v>138808.78</v>
      </c>
      <c r="AI32" s="73">
        <v>22120.309999999998</v>
      </c>
      <c r="AJ32" s="81">
        <v>7213</v>
      </c>
      <c r="AK32" s="81">
        <f t="shared" si="16"/>
        <v>-2787</v>
      </c>
      <c r="AL32" s="81">
        <f t="shared" si="16"/>
        <v>-12787</v>
      </c>
      <c r="AM32" s="81">
        <f t="shared" si="16"/>
        <v>-22787</v>
      </c>
      <c r="AN32" s="81">
        <f t="shared" si="16"/>
        <v>-32787</v>
      </c>
      <c r="AO32" s="81">
        <f t="shared" si="16"/>
        <v>-42787</v>
      </c>
      <c r="AP32" s="56"/>
    </row>
    <row r="33" spans="1:52" ht="15.75" customHeight="1" x14ac:dyDescent="0.25">
      <c r="A33" s="5" t="s">
        <v>181</v>
      </c>
      <c r="B33" s="19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>
        <v>171000</v>
      </c>
      <c r="O33" s="56">
        <f>N33</f>
        <v>171000</v>
      </c>
      <c r="P33" s="56">
        <f>O33</f>
        <v>171000</v>
      </c>
      <c r="Q33" s="56">
        <f t="shared" ref="Q33:V33" si="17">P33-P111</f>
        <v>171000</v>
      </c>
      <c r="R33" s="56">
        <f t="shared" si="17"/>
        <v>171000</v>
      </c>
      <c r="S33" s="56">
        <f t="shared" si="17"/>
        <v>171000</v>
      </c>
      <c r="T33" s="56">
        <f t="shared" si="17"/>
        <v>171000</v>
      </c>
      <c r="U33" s="56">
        <f t="shared" si="17"/>
        <v>171000</v>
      </c>
      <c r="V33" s="56">
        <f t="shared" si="17"/>
        <v>171000</v>
      </c>
      <c r="W33" s="56"/>
      <c r="X33" s="56">
        <v>422797.71</v>
      </c>
      <c r="Y33" s="56">
        <f t="shared" ref="Y33:AO34" si="18">X33</f>
        <v>422797.71</v>
      </c>
      <c r="Z33" s="56">
        <f t="shared" si="18"/>
        <v>422797.71</v>
      </c>
      <c r="AA33" s="56">
        <f t="shared" si="18"/>
        <v>422797.71</v>
      </c>
      <c r="AB33" s="73">
        <v>422797.71</v>
      </c>
      <c r="AC33" s="56">
        <v>422797.77</v>
      </c>
      <c r="AD33" s="56">
        <f>AC33</f>
        <v>422797.77</v>
      </c>
      <c r="AE33" s="56">
        <f t="shared" si="18"/>
        <v>422797.77</v>
      </c>
      <c r="AF33" s="56">
        <f t="shared" si="18"/>
        <v>422797.77</v>
      </c>
      <c r="AG33" s="73">
        <f t="shared" si="18"/>
        <v>422797.77</v>
      </c>
      <c r="AH33" s="73">
        <f t="shared" si="18"/>
        <v>422797.77</v>
      </c>
      <c r="AI33" s="73">
        <f t="shared" si="18"/>
        <v>422797.77</v>
      </c>
      <c r="AJ33" s="73">
        <f t="shared" si="18"/>
        <v>422797.77</v>
      </c>
      <c r="AK33" s="73">
        <f t="shared" si="18"/>
        <v>422797.77</v>
      </c>
      <c r="AL33" s="73">
        <f t="shared" si="18"/>
        <v>422797.77</v>
      </c>
      <c r="AM33" s="73">
        <f t="shared" si="18"/>
        <v>422797.77</v>
      </c>
      <c r="AN33" s="73">
        <f t="shared" si="18"/>
        <v>422797.77</v>
      </c>
      <c r="AO33" s="73">
        <f t="shared" si="18"/>
        <v>422797.77</v>
      </c>
      <c r="AP33" s="56"/>
    </row>
    <row r="34" spans="1:52" ht="15.75" customHeight="1" x14ac:dyDescent="0.25">
      <c r="A34" s="5" t="s">
        <v>178</v>
      </c>
      <c r="B34" s="19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>
        <v>428831.68</v>
      </c>
      <c r="U34" s="56">
        <v>407668.4</v>
      </c>
      <c r="V34" s="39">
        <v>407688.4</v>
      </c>
      <c r="W34" s="39">
        <v>354169.4</v>
      </c>
      <c r="X34" s="39">
        <v>354169.4</v>
      </c>
      <c r="Y34" s="39">
        <v>310397.40000000002</v>
      </c>
      <c r="Z34" s="39">
        <v>310397.40000000002</v>
      </c>
      <c r="AA34" s="39">
        <v>310397.40000000002</v>
      </c>
      <c r="AB34" s="72">
        <v>310397.40000000002</v>
      </c>
      <c r="AC34" s="39">
        <v>310397.40000000002</v>
      </c>
      <c r="AD34" s="39">
        <f>AC34</f>
        <v>310397.40000000002</v>
      </c>
      <c r="AE34" s="72">
        <f t="shared" si="18"/>
        <v>310397.40000000002</v>
      </c>
      <c r="AF34" s="72">
        <f t="shared" si="18"/>
        <v>310397.40000000002</v>
      </c>
      <c r="AG34" s="72">
        <f t="shared" si="18"/>
        <v>310397.40000000002</v>
      </c>
      <c r="AH34" s="72">
        <v>310397.40000000002</v>
      </c>
      <c r="AI34" s="72">
        <v>632968.59</v>
      </c>
      <c r="AJ34" s="72">
        <f>AI34-AI109</f>
        <v>632968.59</v>
      </c>
      <c r="AK34" s="72">
        <f t="shared" ref="AK34:AN34" si="19">AJ34-AJ109</f>
        <v>545968.59</v>
      </c>
      <c r="AL34" s="72">
        <f t="shared" si="19"/>
        <v>545968.59</v>
      </c>
      <c r="AM34" s="72">
        <f t="shared" si="19"/>
        <v>545968.59</v>
      </c>
      <c r="AN34" s="72">
        <f t="shared" si="19"/>
        <v>545968.59</v>
      </c>
      <c r="AO34" s="72">
        <f t="shared" ref="AO34" si="20">AN34+AN46-AN109</f>
        <v>546364.59</v>
      </c>
      <c r="AP34" s="56"/>
    </row>
    <row r="35" spans="1:52" ht="15.75" hidden="1" customHeight="1" x14ac:dyDescent="0.25">
      <c r="A35" s="71"/>
      <c r="B35" s="19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70"/>
      <c r="AC35" s="56">
        <f>118984.5</f>
        <v>118984.5</v>
      </c>
      <c r="AD35" s="73">
        <v>0</v>
      </c>
      <c r="AE35" s="73">
        <v>0</v>
      </c>
      <c r="AF35" s="73">
        <v>0</v>
      </c>
      <c r="AG35" s="48">
        <v>0</v>
      </c>
      <c r="AH35" s="73">
        <v>0</v>
      </c>
      <c r="AI35" s="79">
        <v>0</v>
      </c>
      <c r="AJ35" s="79">
        <v>0</v>
      </c>
      <c r="AK35" s="73">
        <v>0</v>
      </c>
      <c r="AL35" s="73">
        <v>0</v>
      </c>
      <c r="AM35" s="73">
        <v>0</v>
      </c>
      <c r="AN35" s="73">
        <v>0</v>
      </c>
      <c r="AO35" s="73">
        <v>0</v>
      </c>
      <c r="AP35" s="56"/>
    </row>
    <row r="36" spans="1:52" ht="15.75" customHeight="1" x14ac:dyDescent="0.25">
      <c r="A36" s="71" t="s">
        <v>207</v>
      </c>
      <c r="B36" s="19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>
        <v>88556.82</v>
      </c>
      <c r="U36" s="56">
        <v>99392.7</v>
      </c>
      <c r="V36" s="56">
        <v>99389.64</v>
      </c>
      <c r="W36" s="56">
        <v>146236</v>
      </c>
      <c r="X36" s="56">
        <v>147166.88</v>
      </c>
      <c r="Y36" s="56">
        <v>127578.69</v>
      </c>
      <c r="Z36" s="56">
        <v>116803.27</v>
      </c>
      <c r="AA36" s="56">
        <v>116182.31</v>
      </c>
      <c r="AB36" s="73">
        <v>116563.16</v>
      </c>
      <c r="AC36" s="56">
        <f>118329.58</f>
        <v>118329.58</v>
      </c>
      <c r="AD36" s="73">
        <v>124046.38</v>
      </c>
      <c r="AE36" s="73">
        <v>124298.6</v>
      </c>
      <c r="AF36" s="73">
        <v>131358</v>
      </c>
      <c r="AG36" s="73">
        <f>104203.96</f>
        <v>104203.96</v>
      </c>
      <c r="AH36" s="73">
        <f>91738.12</f>
        <v>91738.12</v>
      </c>
      <c r="AI36" s="73">
        <v>93321</v>
      </c>
      <c r="AJ36" s="73">
        <v>77657.279999999999</v>
      </c>
      <c r="AK36" s="73">
        <f t="shared" ref="AK36:AO36" si="21">AJ36+AJ51-AJ110+AJ47+AJ46</f>
        <v>39871.677719448307</v>
      </c>
      <c r="AL36" s="73">
        <f t="shared" si="21"/>
        <v>27444.016882127096</v>
      </c>
      <c r="AM36" s="73">
        <f t="shared" si="21"/>
        <v>15045.51046108178</v>
      </c>
      <c r="AN36" s="73">
        <f t="shared" si="21"/>
        <v>2799.771213854483</v>
      </c>
      <c r="AO36" s="81">
        <f t="shared" si="21"/>
        <v>-9302.6768763009622</v>
      </c>
      <c r="AP36" s="56"/>
    </row>
    <row r="37" spans="1:52" ht="15.75" customHeight="1" x14ac:dyDescent="0.25">
      <c r="A37" s="71" t="s">
        <v>190</v>
      </c>
      <c r="B37" s="1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1">
        <v>15937.92</v>
      </c>
      <c r="Y37" s="39">
        <v>19531.73</v>
      </c>
      <c r="Z37" s="39">
        <v>32423</v>
      </c>
      <c r="AA37" s="39">
        <v>35307.06</v>
      </c>
      <c r="AB37" s="72">
        <v>37920.99</v>
      </c>
      <c r="AC37" s="39">
        <f>40722.98</f>
        <v>40722.980000000003</v>
      </c>
      <c r="AD37" s="39">
        <f>49465.9+13636.36</f>
        <v>63102.26</v>
      </c>
      <c r="AE37" s="39">
        <f>AD37</f>
        <v>63102.26</v>
      </c>
      <c r="AF37" s="72">
        <f>59372.5</f>
        <v>59372.5</v>
      </c>
      <c r="AG37" s="72">
        <f>45733.9+13638.6</f>
        <v>59372.5</v>
      </c>
      <c r="AH37" s="72">
        <f>45733.9+13638.6</f>
        <v>59372.5</v>
      </c>
      <c r="AI37" s="72">
        <v>100279.35</v>
      </c>
      <c r="AJ37" s="72">
        <f t="shared" ref="AJ37" si="22">AI37</f>
        <v>100279.35</v>
      </c>
      <c r="AK37" s="72">
        <f>AJ37+0.5*AJ49</f>
        <v>142779.35</v>
      </c>
      <c r="AL37" s="72">
        <f t="shared" ref="AL37:AO37" si="23">AK37+0.5*AK49</f>
        <v>198779.35</v>
      </c>
      <c r="AM37" s="72">
        <f t="shared" si="23"/>
        <v>243779.35</v>
      </c>
      <c r="AN37" s="72">
        <f t="shared" si="23"/>
        <v>286279.34999999998</v>
      </c>
      <c r="AO37" s="72">
        <f t="shared" si="23"/>
        <v>306279.34999999998</v>
      </c>
      <c r="AP37" s="56"/>
    </row>
    <row r="38" spans="1:52" s="20" customFormat="1" ht="15.75" customHeight="1" x14ac:dyDescent="0.25">
      <c r="A38" s="71" t="s">
        <v>188</v>
      </c>
      <c r="B38" s="19"/>
      <c r="C38" s="42"/>
      <c r="D38" s="42"/>
      <c r="E38" s="42"/>
      <c r="F38" s="42"/>
      <c r="G38" s="42"/>
      <c r="H38" s="42"/>
      <c r="I38" s="42"/>
      <c r="J38" s="42" t="e">
        <f>5669929.1-J35-J27-#REF!</f>
        <v>#REF!</v>
      </c>
      <c r="K38" s="56" t="e">
        <f>6069929-#REF!-K27-K35</f>
        <v>#REF!</v>
      </c>
      <c r="L38" s="56" t="e">
        <f>5920985.45-#REF!-L25-L26-L27-L35-L29-L30-L31-22296</f>
        <v>#REF!</v>
      </c>
      <c r="M38" s="56" t="e">
        <f>L123-M17-M23-M20-#REF!-M25-M26-M27-M35-M29-M30-M31</f>
        <v>#REF!</v>
      </c>
      <c r="N38" s="56">
        <v>25023.200000000001</v>
      </c>
      <c r="O38" s="56">
        <f>4746523.28-SUM(O25:O33)</f>
        <v>-265674.16999999899</v>
      </c>
      <c r="P38" s="56">
        <f>4746523.28-P25-P26-P27-P35-P29-P30-P31-P32-P33</f>
        <v>1292500.4300000006</v>
      </c>
      <c r="Q38" s="56">
        <f>4747317.15-Q25-Q26-Q27-Q35-Q29-Q30-Q31-Q32-Q33</f>
        <v>1305682.8900000004</v>
      </c>
      <c r="R38" s="56">
        <f>4748034.99-R25-R26-R27-R35-R29-R30-R31-R32-R33</f>
        <v>1306399.7600000002</v>
      </c>
      <c r="S38" s="56">
        <f>4448907.53-S25-S26-S27-S35-S29-S30-S31-S32-S33</f>
        <v>1295642.29</v>
      </c>
      <c r="T38" s="56">
        <f>4604818.94-T36-T34-T33-T32-T31-T30-T29-T35-T26-T25</f>
        <v>1296906.3700000003</v>
      </c>
      <c r="U38" s="56">
        <f>4522513.81-U36-U34-U33-U32-U31-U30-U29-U35-U27-U26-U25</f>
        <v>1286844.0999999999</v>
      </c>
      <c r="V38" s="56">
        <f>3873327.15-V25-V26-V27-V35-V29-V30-V31-V32-V33-V34-V36</f>
        <v>1275547.72</v>
      </c>
      <c r="W38" s="56">
        <f>5056376-W23-W25-W26-W27-W35-W29-W30-W31-W32-W33-W34-W36</f>
        <v>1223624.6599999997</v>
      </c>
      <c r="X38" s="56" t="e">
        <f>4592880.05+400000+15937.02-X23-X20-#REF!-X25-X26-X27-X35-X29-X30-X31-X32-X33-X34-X36-X37</f>
        <v>#REF!</v>
      </c>
      <c r="Y38" s="56" t="e">
        <f>4559124.48+400000-#REF!-Y23-Y25-Y26-Y27-Y35-Y29-Y30-Y31-Y32-Y33-Y34-Y36-Y37</f>
        <v>#REF!</v>
      </c>
      <c r="Z38" s="56" t="e">
        <f>4306805.32-#REF!-Z23-Z25-Z26-Z27-Z35-Z29-Z30-Z31-Z32-Z33-Z34-Z36-Z37</f>
        <v>#REF!</v>
      </c>
      <c r="AA38" s="56" t="e">
        <f>4364323.7-#REF!-AA23-AA25-AA26-AA27-AA35-AA29-AA30-AA31-AA32-AA33-AA34-AA36-AA37</f>
        <v>#REF!</v>
      </c>
      <c r="AB38" s="73" t="e">
        <f>4734588.23-#REF!-AB23-AB25-AB26-AB27-AB35-AB29-AB30-AB31-AB32-AB33-AB34-AB36-AB37</f>
        <v>#REF!</v>
      </c>
      <c r="AC38" s="73">
        <f>5424816.3-SUM(AC23:AC37)</f>
        <v>23418.759999998845</v>
      </c>
      <c r="AD38" s="56">
        <f>3705274.25-SUM(AD25:AD37)</f>
        <v>57411.380000000354</v>
      </c>
      <c r="AE38" s="73">
        <f>3598664.94-SUM(AE25:AE37)</f>
        <v>63371.579999999609</v>
      </c>
      <c r="AF38" s="73">
        <f>3369468.55-SUM(AF25:AF37)</f>
        <v>48922.649999999907</v>
      </c>
      <c r="AG38" s="73">
        <f>3121682.05-SUM(AG25:AG37)</f>
        <v>65913.799999999814</v>
      </c>
      <c r="AH38" s="73">
        <f>2675331.43-SUM(AH25:AH37)</f>
        <v>74762.669999999925</v>
      </c>
      <c r="AI38" s="73">
        <f>3419729-SUM(AI25:AI37)</f>
        <v>74853.400000000373</v>
      </c>
      <c r="AJ38" s="73">
        <f>2797028.22-SUM(AJ25:AJ37)</f>
        <v>82938.700000000186</v>
      </c>
      <c r="AK38" s="73">
        <f t="shared" ref="AK38:AO38" si="24">AJ123-SUM(AK17:AK37)</f>
        <v>84784.773266665637</v>
      </c>
      <c r="AL38" s="73">
        <f t="shared" si="24"/>
        <v>86316.593822222203</v>
      </c>
      <c r="AM38" s="73">
        <f t="shared" si="24"/>
        <v>88508.212896295823</v>
      </c>
      <c r="AN38" s="73">
        <f t="shared" si="24"/>
        <v>90528.165328394622</v>
      </c>
      <c r="AO38" s="73">
        <f t="shared" si="24"/>
        <v>92640.044682304375</v>
      </c>
      <c r="AP38" s="56"/>
      <c r="AQ38" s="60"/>
    </row>
    <row r="39" spans="1:52" ht="15.75" customHeight="1" x14ac:dyDescent="0.25">
      <c r="A39" s="5" t="s">
        <v>154</v>
      </c>
      <c r="B39" s="19"/>
      <c r="C39" s="1"/>
      <c r="D39" s="1"/>
      <c r="E39" s="1"/>
      <c r="F39" s="37"/>
      <c r="G39" s="37" t="e">
        <f t="shared" ref="G39:AD39" si="25">SUM(G17:G38)</f>
        <v>#REF!</v>
      </c>
      <c r="H39" s="37" t="e">
        <f t="shared" si="25"/>
        <v>#REF!</v>
      </c>
      <c r="I39" s="37" t="e">
        <f t="shared" si="25"/>
        <v>#REF!</v>
      </c>
      <c r="J39" s="37" t="e">
        <f t="shared" si="25"/>
        <v>#REF!</v>
      </c>
      <c r="K39" s="37" t="e">
        <f t="shared" si="25"/>
        <v>#REF!</v>
      </c>
      <c r="L39" s="37" t="e">
        <f t="shared" si="25"/>
        <v>#REF!</v>
      </c>
      <c r="M39" s="37" t="e">
        <f t="shared" si="25"/>
        <v>#REF!</v>
      </c>
      <c r="N39" s="37">
        <f t="shared" si="25"/>
        <v>6825766.7700000005</v>
      </c>
      <c r="O39" s="37">
        <f t="shared" si="25"/>
        <v>6112756.96</v>
      </c>
      <c r="P39" s="37">
        <f t="shared" si="25"/>
        <v>7622807.8200000012</v>
      </c>
      <c r="Q39" s="37">
        <f t="shared" si="25"/>
        <v>7535958.040000001</v>
      </c>
      <c r="R39" s="37">
        <f t="shared" si="25"/>
        <v>7725117.2000000011</v>
      </c>
      <c r="S39" s="37">
        <f t="shared" si="25"/>
        <v>7501624.75</v>
      </c>
      <c r="T39" s="37">
        <f t="shared" si="25"/>
        <v>7072528.2400000002</v>
      </c>
      <c r="U39" s="37">
        <f t="shared" si="25"/>
        <v>7022920.7599999998</v>
      </c>
      <c r="V39" s="37">
        <f t="shared" si="25"/>
        <v>6621231.4500000002</v>
      </c>
      <c r="W39" s="37">
        <f t="shared" si="25"/>
        <v>6586176.1575000007</v>
      </c>
      <c r="X39" s="37" t="e">
        <f t="shared" si="25"/>
        <v>#REF!</v>
      </c>
      <c r="Y39" s="37" t="e">
        <f t="shared" si="25"/>
        <v>#REF!</v>
      </c>
      <c r="Z39" s="37" t="e">
        <f t="shared" si="25"/>
        <v>#REF!</v>
      </c>
      <c r="AA39" s="37" t="e">
        <f t="shared" si="25"/>
        <v>#REF!</v>
      </c>
      <c r="AB39" s="37" t="e">
        <f>SUM(AB17:AB38)</f>
        <v>#REF!</v>
      </c>
      <c r="AC39" s="37">
        <f>SUM(AC17:AC38)</f>
        <v>5548783.3799999999</v>
      </c>
      <c r="AD39" s="37">
        <f t="shared" si="25"/>
        <v>5598951.3699999992</v>
      </c>
      <c r="AE39" s="37">
        <f t="shared" ref="AE39:AL39" si="26">SUM(AE17:AE38)</f>
        <v>5582992.1999999993</v>
      </c>
      <c r="AF39" s="37">
        <f t="shared" si="26"/>
        <v>5476246.4400000013</v>
      </c>
      <c r="AG39" s="37">
        <f t="shared" si="26"/>
        <v>5321668.7800000012</v>
      </c>
      <c r="AH39" s="37">
        <f t="shared" si="26"/>
        <v>4936732.3400000008</v>
      </c>
      <c r="AI39" s="37">
        <f t="shared" si="26"/>
        <v>5779010.3699999992</v>
      </c>
      <c r="AJ39" s="37">
        <f t="shared" si="26"/>
        <v>5235694.63</v>
      </c>
      <c r="AK39" s="37">
        <f t="shared" si="26"/>
        <v>5519234.214319448</v>
      </c>
      <c r="AL39" s="37">
        <f t="shared" si="26"/>
        <v>5305496.1684821267</v>
      </c>
      <c r="AM39" s="37">
        <f t="shared" ref="AM39:AN39" si="27">SUM(AM17:AM38)</f>
        <v>5435574.2270610807</v>
      </c>
      <c r="AN39" s="37">
        <f t="shared" si="27"/>
        <v>5539295.7248138534</v>
      </c>
      <c r="AO39" s="37">
        <f t="shared" ref="AO39" si="28">SUM(AO17:AO38)</f>
        <v>5618565.4977236977</v>
      </c>
      <c r="AP39" s="19"/>
    </row>
    <row r="40" spans="1:52" ht="15.75" customHeight="1" x14ac:dyDescent="0.25">
      <c r="A40" s="5"/>
      <c r="B40" s="19"/>
      <c r="C40" s="1"/>
      <c r="D40" s="1"/>
      <c r="E40" s="1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</row>
    <row r="41" spans="1:52" ht="15.75" hidden="1" customHeight="1" x14ac:dyDescent="0.25">
      <c r="A41" s="5" t="s">
        <v>186</v>
      </c>
      <c r="B41" s="19"/>
      <c r="C41" s="1"/>
      <c r="D41" s="1"/>
      <c r="E41" s="1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68">
        <v>0.63</v>
      </c>
      <c r="Y41" s="68">
        <v>0.63</v>
      </c>
      <c r="Z41" s="68">
        <v>0.63</v>
      </c>
      <c r="AA41" s="68">
        <v>0.63</v>
      </c>
      <c r="AB41" s="68">
        <v>0.63</v>
      </c>
      <c r="AC41" s="68">
        <v>0.57999999999999996</v>
      </c>
      <c r="AD41" s="68">
        <v>0.57999999999999996</v>
      </c>
      <c r="AE41" s="68">
        <v>0.57999999999999996</v>
      </c>
      <c r="AF41" s="68">
        <v>0.54</v>
      </c>
      <c r="AG41" s="68">
        <v>0.54</v>
      </c>
      <c r="AH41" s="68">
        <v>0.52</v>
      </c>
      <c r="AI41" s="68">
        <v>0.52</v>
      </c>
      <c r="AJ41" s="68">
        <v>0.5</v>
      </c>
      <c r="AK41" s="68">
        <v>0.5</v>
      </c>
      <c r="AL41" s="68">
        <v>0.5</v>
      </c>
      <c r="AM41" s="68">
        <v>0.4</v>
      </c>
      <c r="AN41" s="68">
        <v>0.3</v>
      </c>
      <c r="AO41" s="68">
        <v>0.2</v>
      </c>
      <c r="AP41" s="19"/>
    </row>
    <row r="42" spans="1:52" ht="15.75" customHeight="1" x14ac:dyDescent="0.25">
      <c r="A42" s="5" t="s">
        <v>134</v>
      </c>
      <c r="B42" s="19"/>
      <c r="C42" s="1"/>
      <c r="D42" s="1"/>
      <c r="E42" s="1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47"/>
      <c r="AR42" s="43" t="s">
        <v>149</v>
      </c>
      <c r="AS42" s="43" t="s">
        <v>147</v>
      </c>
      <c r="AT42" s="43" t="s">
        <v>148</v>
      </c>
      <c r="AU42" s="43" t="s">
        <v>150</v>
      </c>
      <c r="AX42" s="43"/>
      <c r="AY42" s="43"/>
      <c r="AZ42" s="43"/>
    </row>
    <row r="43" spans="1:52" ht="15.75" hidden="1" customHeight="1" x14ac:dyDescent="0.25">
      <c r="A43" s="5" t="s">
        <v>132</v>
      </c>
      <c r="B43" s="19"/>
      <c r="C43" s="1"/>
      <c r="D43" s="1"/>
      <c r="E43" s="1"/>
      <c r="F43" s="19"/>
      <c r="G43" s="19">
        <v>259772.74</v>
      </c>
      <c r="H43" s="19">
        <v>0</v>
      </c>
      <c r="I43" s="19">
        <v>37848</v>
      </c>
      <c r="J43" s="19">
        <v>0</v>
      </c>
      <c r="K43" s="19">
        <v>0</v>
      </c>
      <c r="L43" s="19">
        <v>0</v>
      </c>
      <c r="M43" s="19">
        <f>5342.29</f>
        <v>5342.29</v>
      </c>
      <c r="N43" s="19">
        <v>27123</v>
      </c>
      <c r="O43" s="19">
        <v>0</v>
      </c>
      <c r="P43" s="19">
        <v>21725.32</v>
      </c>
      <c r="Q43" s="19">
        <v>42665.32</v>
      </c>
      <c r="R43" s="19">
        <v>7071.11</v>
      </c>
      <c r="S43" s="19">
        <v>4386.8</v>
      </c>
      <c r="T43" s="19">
        <v>5252.51</v>
      </c>
      <c r="U43" s="19">
        <v>5306.28</v>
      </c>
      <c r="V43" s="19">
        <v>0</v>
      </c>
      <c r="W43" s="19">
        <v>7473.07</v>
      </c>
      <c r="X43" s="19">
        <v>3945.3</v>
      </c>
      <c r="Y43" s="19">
        <v>0</v>
      </c>
      <c r="Z43" s="19">
        <f t="shared" ref="Z43:AE43" si="29">Y43</f>
        <v>0</v>
      </c>
      <c r="AA43" s="19">
        <f t="shared" si="29"/>
        <v>0</v>
      </c>
      <c r="AB43" s="19">
        <f t="shared" si="29"/>
        <v>0</v>
      </c>
      <c r="AC43" s="19">
        <f t="shared" si="29"/>
        <v>0</v>
      </c>
      <c r="AD43" s="19">
        <f t="shared" si="29"/>
        <v>0</v>
      </c>
      <c r="AE43" s="19">
        <f t="shared" si="29"/>
        <v>0</v>
      </c>
      <c r="AF43" s="19">
        <f t="shared" ref="AF43:AO43" si="30">AE43</f>
        <v>0</v>
      </c>
      <c r="AG43" s="19">
        <f t="shared" si="30"/>
        <v>0</v>
      </c>
      <c r="AH43" s="19">
        <f t="shared" si="30"/>
        <v>0</v>
      </c>
      <c r="AI43" s="19">
        <f t="shared" si="30"/>
        <v>0</v>
      </c>
      <c r="AJ43" s="19">
        <f t="shared" si="30"/>
        <v>0</v>
      </c>
      <c r="AK43" s="19">
        <f t="shared" si="30"/>
        <v>0</v>
      </c>
      <c r="AL43" s="19">
        <f t="shared" si="30"/>
        <v>0</v>
      </c>
      <c r="AM43" s="19">
        <f t="shared" si="30"/>
        <v>0</v>
      </c>
      <c r="AN43" s="19">
        <f t="shared" si="30"/>
        <v>0</v>
      </c>
      <c r="AO43" s="19">
        <f t="shared" si="30"/>
        <v>0</v>
      </c>
      <c r="AP43" s="19"/>
      <c r="AU43" s="43"/>
      <c r="AV43" s="43"/>
      <c r="AW43">
        <f>575-381</f>
        <v>194</v>
      </c>
    </row>
    <row r="44" spans="1:52" ht="15.75" customHeight="1" x14ac:dyDescent="0.25">
      <c r="A44" s="5" t="s">
        <v>131</v>
      </c>
      <c r="B44" s="19"/>
      <c r="C44" s="1"/>
      <c r="D44" s="1"/>
      <c r="E44" s="1"/>
      <c r="F44" s="19"/>
      <c r="G44" s="19">
        <v>1331964</v>
      </c>
      <c r="H44" s="19">
        <v>1379905</v>
      </c>
      <c r="I44" s="19">
        <v>1327688</v>
      </c>
      <c r="J44" s="19">
        <f>952608</f>
        <v>952608</v>
      </c>
      <c r="K44" s="19">
        <v>166462</v>
      </c>
      <c r="L44" s="19">
        <f>($AR44*K94)+(70%*K89)+206943</f>
        <v>636233.37699999998</v>
      </c>
      <c r="M44" s="19">
        <f>442630.1</f>
        <v>442630.1</v>
      </c>
      <c r="N44" s="19">
        <v>693304</v>
      </c>
      <c r="O44" s="19">
        <f>($AR44*N94)+(55%*N89)</f>
        <v>838876.01049999997</v>
      </c>
      <c r="P44" s="19">
        <v>887101.1</v>
      </c>
      <c r="Q44" s="19">
        <f>($AR44*P94)+(55%*P89)</f>
        <v>1041976.0105</v>
      </c>
      <c r="R44" s="19">
        <f>($AR44*Q94)+(55%*Q89)</f>
        <v>836286.45649999997</v>
      </c>
      <c r="S44" s="19">
        <f>($AR44*R94)+(55%*R89)</f>
        <v>902562.00049999997</v>
      </c>
      <c r="T44" s="19">
        <f>($AR44*S94)+(55%*S89)</f>
        <v>1044837.0005</v>
      </c>
      <c r="U44" s="19">
        <v>1106166</v>
      </c>
      <c r="V44" s="19">
        <v>1297500</v>
      </c>
      <c r="W44" s="19">
        <f>($AR44*V94)</f>
        <v>1207000</v>
      </c>
      <c r="X44" s="19">
        <f>($AR44*W94)+(W89*AP44)</f>
        <v>923000</v>
      </c>
      <c r="Y44" s="19">
        <f>($AR44*X94)+(X41*X89)</f>
        <v>986648.46530000004</v>
      </c>
      <c r="Z44" s="19">
        <v>1369843</v>
      </c>
      <c r="AA44" s="19">
        <f>($AR44*Z94)+(Z41*Z89)</f>
        <v>982868.46530000004</v>
      </c>
      <c r="AB44" s="19">
        <f>($AR44*AA94)+(AA41*AA89)</f>
        <v>1120143.4653</v>
      </c>
      <c r="AC44" s="19">
        <f>($AR44*AB94)+(AB41*AB89)</f>
        <v>476418.46529999998</v>
      </c>
      <c r="AD44" s="19">
        <f>($AR44*AC94)+(AC41*AC89)</f>
        <v>474417.63439999998</v>
      </c>
      <c r="AE44" s="19">
        <f>($AR44*AD94)+(AD41*AD89)</f>
        <v>263584.60139999999</v>
      </c>
      <c r="AF44" s="19">
        <f>AE98+(AE41*AE89)</f>
        <v>278706.40139999997</v>
      </c>
      <c r="AG44" s="19">
        <f>AF98+(AF41*AF89)</f>
        <v>176047.04120000001</v>
      </c>
      <c r="AH44" s="19">
        <f t="shared" ref="AH44:AO44" si="31">AG98+(AG41*AG89)</f>
        <v>489840.60820000002</v>
      </c>
      <c r="AI44" s="19">
        <f t="shared" si="31"/>
        <v>133366.5116</v>
      </c>
      <c r="AJ44" s="19">
        <f t="shared" si="31"/>
        <v>481606.51159999997</v>
      </c>
      <c r="AK44" s="19">
        <f t="shared" si="31"/>
        <v>195852.41499999998</v>
      </c>
      <c r="AL44" s="19">
        <f t="shared" si="31"/>
        <v>285586.89</v>
      </c>
      <c r="AM44" s="19">
        <f t="shared" si="31"/>
        <v>266852.41499999998</v>
      </c>
      <c r="AN44" s="19">
        <f t="shared" si="31"/>
        <v>273069.51199999999</v>
      </c>
      <c r="AO44" s="19">
        <f t="shared" si="31"/>
        <v>249311.44899999999</v>
      </c>
      <c r="AP44" s="68"/>
      <c r="AR44" s="50">
        <v>71000</v>
      </c>
      <c r="AS44">
        <v>18</v>
      </c>
      <c r="AT44">
        <v>58000</v>
      </c>
      <c r="AU44">
        <v>159</v>
      </c>
      <c r="AV44" s="3"/>
    </row>
    <row r="45" spans="1:52" ht="17.25" customHeight="1" x14ac:dyDescent="0.25">
      <c r="A45" s="5" t="s">
        <v>152</v>
      </c>
      <c r="B45" s="19"/>
      <c r="C45" s="1"/>
      <c r="D45" s="1"/>
      <c r="E45" s="1"/>
      <c r="F45" s="19"/>
      <c r="G45" s="19">
        <v>47898.49</v>
      </c>
      <c r="H45" s="19">
        <v>52171.03</v>
      </c>
      <c r="I45" s="19">
        <v>53037.86</v>
      </c>
      <c r="J45" s="19">
        <v>57878.67</v>
      </c>
      <c r="K45" s="19">
        <f>J45+($AS44*$AU44)</f>
        <v>60740.67</v>
      </c>
      <c r="L45" s="19">
        <f>59698.64</f>
        <v>59698.64</v>
      </c>
      <c r="M45" s="19">
        <f>62726.16</f>
        <v>62726.16</v>
      </c>
      <c r="N45" s="19">
        <v>66827</v>
      </c>
      <c r="O45" s="19">
        <v>60128.739999999976</v>
      </c>
      <c r="P45" s="19">
        <f>O45+(O94*$AU44)</f>
        <v>62036.739999999976</v>
      </c>
      <c r="Q45" s="19">
        <v>66783.94</v>
      </c>
      <c r="R45" s="19">
        <f>Q45+(Q94*$AU44)</f>
        <v>68532.94</v>
      </c>
      <c r="S45" s="19">
        <v>67869.500000000262</v>
      </c>
      <c r="T45" s="19">
        <v>70038</v>
      </c>
      <c r="U45" s="19">
        <v>70037.56</v>
      </c>
      <c r="V45" s="19">
        <v>72457.119999999995</v>
      </c>
      <c r="W45" s="19">
        <v>77028.759999999995</v>
      </c>
      <c r="X45" s="19">
        <v>81374.16</v>
      </c>
      <c r="Y45" s="19">
        <v>77541.45</v>
      </c>
      <c r="Z45" s="19">
        <v>80922.37</v>
      </c>
      <c r="AA45" s="19">
        <f>Z45+(Y94*$AU44)</f>
        <v>83625.37</v>
      </c>
      <c r="AB45" s="19">
        <f>AA45+(Z94*$AU44)</f>
        <v>85692.37</v>
      </c>
      <c r="AC45" s="19">
        <v>90000</v>
      </c>
      <c r="AD45" s="19">
        <v>81489.289999999994</v>
      </c>
      <c r="AE45" s="19">
        <f>AD45+(AC94*$AU44)</f>
        <v>82443.289999999994</v>
      </c>
      <c r="AF45" s="19">
        <v>88056</v>
      </c>
      <c r="AG45" s="19">
        <v>85976.14</v>
      </c>
      <c r="AH45" s="19">
        <v>93012.5</v>
      </c>
      <c r="AI45" s="19">
        <f>AH45+(AG94*$AU44)-5500</f>
        <v>88466.5</v>
      </c>
      <c r="AJ45" s="19">
        <f t="shared" ref="AJ45:AO45" si="32">AI45+(AH94*$AU44)</f>
        <v>88625.5</v>
      </c>
      <c r="AK45" s="19">
        <f t="shared" si="32"/>
        <v>89579.5</v>
      </c>
      <c r="AL45" s="19">
        <f t="shared" si="32"/>
        <v>89897.5</v>
      </c>
      <c r="AM45" s="19">
        <f t="shared" si="32"/>
        <v>90374.5</v>
      </c>
      <c r="AN45" s="19">
        <f t="shared" si="32"/>
        <v>90851.5</v>
      </c>
      <c r="AO45" s="19">
        <f t="shared" si="32"/>
        <v>91328.5</v>
      </c>
      <c r="AP45" s="19"/>
      <c r="AQ45" s="19"/>
      <c r="AR45" s="3"/>
      <c r="AV45" s="3"/>
    </row>
    <row r="46" spans="1:52" ht="15.75" customHeight="1" x14ac:dyDescent="0.25">
      <c r="A46" s="71" t="s">
        <v>158</v>
      </c>
      <c r="B46" s="19"/>
      <c r="C46" s="1"/>
      <c r="D46" s="1"/>
      <c r="E46" s="1"/>
      <c r="F46" s="19"/>
      <c r="G46" s="19"/>
      <c r="H46" s="19"/>
      <c r="I46" s="19"/>
      <c r="J46" s="39">
        <f>672212</f>
        <v>672212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>
        <v>17687.009999999998</v>
      </c>
      <c r="V46" s="19">
        <f>1118</f>
        <v>1118</v>
      </c>
      <c r="W46" s="19">
        <f>V46</f>
        <v>1118</v>
      </c>
      <c r="X46" s="19">
        <f>W46+(50*W95)</f>
        <v>1118</v>
      </c>
      <c r="Y46" s="19">
        <f t="shared" ref="Y46:Z46" si="33">X46+26.04+(50*X95)</f>
        <v>1194.04</v>
      </c>
      <c r="Z46" s="19">
        <f t="shared" si="33"/>
        <v>1270.08</v>
      </c>
      <c r="AA46" s="19">
        <f>Z46+26.04+(50*Z95)</f>
        <v>1346.12</v>
      </c>
      <c r="AB46" s="19"/>
      <c r="AC46" s="73">
        <v>895</v>
      </c>
      <c r="AD46" s="73">
        <f>930.61</f>
        <v>930.61</v>
      </c>
      <c r="AE46" s="19">
        <f>AD46</f>
        <v>930.61</v>
      </c>
      <c r="AF46" s="19">
        <f>AE46</f>
        <v>930.61</v>
      </c>
      <c r="AG46" s="19">
        <f>AF46+363500</f>
        <v>364430.61</v>
      </c>
      <c r="AH46" s="19">
        <f>2154.94+363512</f>
        <v>365666.94</v>
      </c>
      <c r="AI46" s="19">
        <v>396</v>
      </c>
      <c r="AJ46" s="19">
        <f t="shared" ref="AJ46:AO46" si="34">AI46</f>
        <v>396</v>
      </c>
      <c r="AK46" s="19">
        <f t="shared" si="34"/>
        <v>396</v>
      </c>
      <c r="AL46" s="19">
        <f t="shared" si="34"/>
        <v>396</v>
      </c>
      <c r="AM46" s="19">
        <f t="shared" si="34"/>
        <v>396</v>
      </c>
      <c r="AN46" s="19">
        <f t="shared" si="34"/>
        <v>396</v>
      </c>
      <c r="AO46" s="19">
        <f t="shared" si="34"/>
        <v>396</v>
      </c>
      <c r="AP46" s="19"/>
      <c r="AQ46" s="19"/>
      <c r="AR46" s="3"/>
      <c r="AV46" s="3"/>
    </row>
    <row r="47" spans="1:52" ht="15.75" customHeight="1" x14ac:dyDescent="0.25">
      <c r="A47" s="5" t="s">
        <v>60</v>
      </c>
      <c r="B47" s="19"/>
      <c r="C47" s="1"/>
      <c r="D47" s="1"/>
      <c r="E47" s="1"/>
      <c r="F47" s="19"/>
      <c r="G47" s="19"/>
      <c r="H47" s="19"/>
      <c r="I47" s="19"/>
      <c r="J47" s="39">
        <f>622</f>
        <v>622</v>
      </c>
      <c r="K47" s="19">
        <v>622</v>
      </c>
      <c r="L47" s="19">
        <v>622</v>
      </c>
      <c r="M47" s="19">
        <v>622</v>
      </c>
      <c r="N47" s="19">
        <v>622</v>
      </c>
      <c r="O47" s="19">
        <f>N47</f>
        <v>622</v>
      </c>
      <c r="P47" s="19">
        <v>622</v>
      </c>
      <c r="Q47" s="19">
        <f>+(331788+P109)*(0.0225/12)</f>
        <v>622.10249999999996</v>
      </c>
      <c r="R47" s="19">
        <f>+(331788+Q109)*(0.0225/12)</f>
        <v>622.10249999999996</v>
      </c>
      <c r="S47" s="19">
        <f>622.1+225</f>
        <v>847.1</v>
      </c>
      <c r="T47" s="19">
        <v>1075.44</v>
      </c>
      <c r="U47" s="56">
        <v>1010.46</v>
      </c>
      <c r="V47" s="19">
        <f>U47</f>
        <v>1010.46</v>
      </c>
      <c r="W47" s="19">
        <f>V47</f>
        <v>1010.46</v>
      </c>
      <c r="X47" s="19">
        <v>942</v>
      </c>
      <c r="Y47" s="19" t="e">
        <f>0.00018*(SUM(Y23:Y38)+Y17)</f>
        <v>#REF!</v>
      </c>
      <c r="Z47" s="19" t="e">
        <f>0.00018*(SUM(Z23:Z38)+Z17)</f>
        <v>#REF!</v>
      </c>
      <c r="AA47" s="19" t="e">
        <f>0.00018*(SUM(AA23:AA38)+AA17)</f>
        <v>#REF!</v>
      </c>
      <c r="AB47" s="19" t="e">
        <f>0.00018*(SUM(AB23:AB38)+AB17)</f>
        <v>#REF!</v>
      </c>
      <c r="AC47" s="19">
        <v>933</v>
      </c>
      <c r="AD47" s="73">
        <v>2013</v>
      </c>
      <c r="AE47" s="19">
        <f>(AD47/AD39)*AE39</f>
        <v>2007.2621739166846</v>
      </c>
      <c r="AF47" s="19">
        <f>((AE47/AE39)*AF39)</f>
        <v>1968.883698970224</v>
      </c>
      <c r="AG47" s="19">
        <f t="shared" ref="AG47:AO47" si="35">(AF47/AF39)*AG39</f>
        <v>1913.3081440105459</v>
      </c>
      <c r="AH47" s="19">
        <f t="shared" si="35"/>
        <v>1774.9113260149645</v>
      </c>
      <c r="AI47" s="19">
        <f t="shared" si="35"/>
        <v>2077.7369021531617</v>
      </c>
      <c r="AJ47" s="19">
        <f t="shared" si="35"/>
        <v>1882.397719448312</v>
      </c>
      <c r="AK47" s="19">
        <f t="shared" si="35"/>
        <v>1984.3391626787877</v>
      </c>
      <c r="AL47" s="19">
        <f t="shared" si="35"/>
        <v>1907.4935789546828</v>
      </c>
      <c r="AM47" s="19">
        <f t="shared" si="35"/>
        <v>1954.2607527727032</v>
      </c>
      <c r="AN47" s="19">
        <f t="shared" si="35"/>
        <v>1991.5519098445554</v>
      </c>
      <c r="AO47" s="19">
        <f t="shared" si="35"/>
        <v>2020.0518989179586</v>
      </c>
      <c r="AP47" s="19"/>
      <c r="AQ47" s="19"/>
      <c r="AR47" s="3"/>
      <c r="AV47" s="3"/>
    </row>
    <row r="48" spans="1:52" ht="15.75" customHeight="1" x14ac:dyDescent="0.25">
      <c r="A48" s="71" t="s">
        <v>206</v>
      </c>
      <c r="B48" s="19"/>
      <c r="C48" s="1"/>
      <c r="D48" s="1"/>
      <c r="E48" s="1"/>
      <c r="F48" s="19"/>
      <c r="G48" s="19"/>
      <c r="H48" s="19"/>
      <c r="I48" s="19"/>
      <c r="J48" s="19"/>
      <c r="K48" s="19"/>
      <c r="L48" s="19"/>
      <c r="M48" s="19"/>
      <c r="N48" s="19"/>
      <c r="O48" s="19">
        <v>0</v>
      </c>
      <c r="P48" s="19"/>
      <c r="Q48" s="19"/>
      <c r="R48" s="19"/>
      <c r="S48" s="19">
        <v>77193</v>
      </c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73"/>
      <c r="AE48" s="19"/>
      <c r="AF48" s="19"/>
      <c r="AG48" s="19">
        <f>AF97*$AQ97</f>
        <v>125000</v>
      </c>
      <c r="AH48" s="19">
        <v>0</v>
      </c>
      <c r="AI48" s="19">
        <f t="shared" ref="AI48:AO48" si="36">AH97*$AQ97</f>
        <v>125000</v>
      </c>
      <c r="AJ48" s="19">
        <f t="shared" si="36"/>
        <v>250000</v>
      </c>
      <c r="AK48" s="19">
        <f t="shared" si="36"/>
        <v>125000</v>
      </c>
      <c r="AL48" s="19">
        <f t="shared" si="36"/>
        <v>375000</v>
      </c>
      <c r="AM48" s="19">
        <f t="shared" si="36"/>
        <v>375000</v>
      </c>
      <c r="AN48" s="19">
        <f t="shared" si="36"/>
        <v>375000</v>
      </c>
      <c r="AO48" s="19">
        <f t="shared" si="36"/>
        <v>375000</v>
      </c>
      <c r="AP48" s="19"/>
      <c r="AQ48" s="19"/>
      <c r="AR48" s="3"/>
      <c r="AV48" s="3"/>
    </row>
    <row r="49" spans="1:52" ht="15.75" customHeight="1" x14ac:dyDescent="0.25">
      <c r="A49" s="71" t="s">
        <v>209</v>
      </c>
      <c r="B49" s="19"/>
      <c r="C49" s="1"/>
      <c r="D49" s="1"/>
      <c r="E49" s="1"/>
      <c r="F49" s="19"/>
      <c r="G49" s="19"/>
      <c r="H49" s="19"/>
      <c r="I49" s="19"/>
      <c r="J49" s="19"/>
      <c r="K49" s="19"/>
      <c r="L49" s="19"/>
      <c r="M49" s="19"/>
      <c r="N49" s="19">
        <v>0</v>
      </c>
      <c r="O49" s="19">
        <f>291921.09</f>
        <v>291921.09000000003</v>
      </c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73"/>
      <c r="AE49" s="19"/>
      <c r="AF49" s="19"/>
      <c r="AG49" s="19"/>
      <c r="AH49" s="19"/>
      <c r="AI49" s="19">
        <v>0</v>
      </c>
      <c r="AJ49" s="81">
        <v>85000</v>
      </c>
      <c r="AK49" s="81">
        <v>112000</v>
      </c>
      <c r="AL49" s="81">
        <v>90000</v>
      </c>
      <c r="AM49" s="81">
        <v>85000</v>
      </c>
      <c r="AN49" s="81">
        <v>40000</v>
      </c>
      <c r="AO49" s="81"/>
      <c r="AP49" s="19"/>
      <c r="AQ49" s="19"/>
      <c r="AR49" s="3"/>
      <c r="AV49" s="3"/>
    </row>
    <row r="50" spans="1:52" hidden="1" x14ac:dyDescent="0.25">
      <c r="A50" s="5"/>
      <c r="B50" s="19"/>
      <c r="C50" s="1"/>
      <c r="D50" s="1"/>
      <c r="E50" s="1"/>
      <c r="F50" s="19"/>
      <c r="G50" s="19"/>
      <c r="H50" s="19">
        <v>5076389.5599999996</v>
      </c>
      <c r="I50" s="19"/>
      <c r="J50" s="19"/>
      <c r="K50" s="19"/>
      <c r="L50" s="19"/>
      <c r="M50" s="19"/>
      <c r="N50" s="19"/>
      <c r="O50" s="19">
        <v>11351.65</v>
      </c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73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X50" s="43"/>
      <c r="AY50" s="43"/>
      <c r="AZ50" s="43"/>
    </row>
    <row r="51" spans="1:52" ht="15.75" customHeight="1" x14ac:dyDescent="0.25">
      <c r="A51" s="71" t="s">
        <v>201</v>
      </c>
      <c r="B51" s="19"/>
      <c r="C51" s="1"/>
      <c r="D51" s="1"/>
      <c r="E51" s="1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>
        <v>0</v>
      </c>
      <c r="Y51" s="19">
        <v>23.14</v>
      </c>
      <c r="Z51" s="19">
        <v>46</v>
      </c>
      <c r="AA51" s="19">
        <f>0.0325/12*SUM(Y110:Z110)</f>
        <v>80.979166666666671</v>
      </c>
      <c r="AB51" s="19">
        <f>0.0325/12*SUM(X110:AA110)</f>
        <v>104.44145833333334</v>
      </c>
      <c r="AC51" s="19">
        <v>269</v>
      </c>
      <c r="AD51" s="73">
        <f>231.17</f>
        <v>231.17</v>
      </c>
      <c r="AE51" s="19">
        <f>AD51+40</f>
        <v>271.16999999999996</v>
      </c>
      <c r="AF51" s="19">
        <f>AE51+106+450</f>
        <v>827.17</v>
      </c>
      <c r="AG51" s="19">
        <f>AF51+106+198857</f>
        <v>199790.17</v>
      </c>
      <c r="AH51" s="19">
        <f>649.1+259634</f>
        <v>260283.1</v>
      </c>
      <c r="AI51" s="19">
        <f>649+281</f>
        <v>930</v>
      </c>
      <c r="AJ51" s="19">
        <f t="shared" ref="AJ51:AO51" si="37">AI51+106</f>
        <v>1036</v>
      </c>
      <c r="AK51" s="19">
        <f t="shared" si="37"/>
        <v>1142</v>
      </c>
      <c r="AL51" s="19">
        <f t="shared" si="37"/>
        <v>1248</v>
      </c>
      <c r="AM51" s="19">
        <f t="shared" si="37"/>
        <v>1354</v>
      </c>
      <c r="AN51" s="19">
        <f t="shared" si="37"/>
        <v>1460</v>
      </c>
      <c r="AO51" s="19">
        <f t="shared" si="37"/>
        <v>1566</v>
      </c>
      <c r="AP51" s="19"/>
      <c r="AQ51" s="19"/>
    </row>
    <row r="52" spans="1:52" ht="15.75" customHeight="1" x14ac:dyDescent="0.25">
      <c r="A52" s="5" t="s">
        <v>172</v>
      </c>
      <c r="B52" s="19"/>
      <c r="C52" s="1"/>
      <c r="D52" s="1"/>
      <c r="E52" s="1"/>
      <c r="F52" s="19"/>
      <c r="G52" s="19"/>
      <c r="H52" s="19">
        <v>0</v>
      </c>
      <c r="I52" s="19">
        <v>0</v>
      </c>
      <c r="J52" s="19">
        <v>0</v>
      </c>
      <c r="K52" s="19"/>
      <c r="L52" s="19"/>
      <c r="M52" s="19"/>
      <c r="N52" s="19"/>
      <c r="O52" s="19"/>
      <c r="P52" s="19"/>
      <c r="Q52" s="19"/>
      <c r="R52" s="19"/>
      <c r="S52" s="19">
        <v>1577.93</v>
      </c>
      <c r="T52" s="19">
        <v>1577.93</v>
      </c>
      <c r="U52" s="19">
        <v>2371.8000000000002</v>
      </c>
      <c r="V52" s="19">
        <f>U52</f>
        <v>2371.8000000000002</v>
      </c>
      <c r="W52" s="19">
        <v>2700</v>
      </c>
      <c r="X52" s="19">
        <v>2900</v>
      </c>
      <c r="Y52" s="19">
        <f>X52</f>
        <v>2900</v>
      </c>
      <c r="Z52" s="19">
        <v>3100</v>
      </c>
      <c r="AA52" s="19">
        <f t="shared" ref="AA52:AO52" si="38">Z52</f>
        <v>3100</v>
      </c>
      <c r="AB52" s="19">
        <f t="shared" si="38"/>
        <v>3100</v>
      </c>
      <c r="AC52" s="19">
        <v>2802</v>
      </c>
      <c r="AD52" s="19">
        <f t="shared" si="38"/>
        <v>2802</v>
      </c>
      <c r="AE52" s="19">
        <v>2819</v>
      </c>
      <c r="AF52" s="19">
        <f t="shared" si="38"/>
        <v>2819</v>
      </c>
      <c r="AG52" s="19">
        <f t="shared" si="38"/>
        <v>2819</v>
      </c>
      <c r="AH52" s="19">
        <v>2548.15</v>
      </c>
      <c r="AI52" s="19">
        <v>3733</v>
      </c>
      <c r="AJ52" s="19">
        <v>3125</v>
      </c>
      <c r="AK52" s="19">
        <f t="shared" si="38"/>
        <v>3125</v>
      </c>
      <c r="AL52" s="19">
        <f t="shared" si="38"/>
        <v>3125</v>
      </c>
      <c r="AM52" s="19">
        <f t="shared" si="38"/>
        <v>3125</v>
      </c>
      <c r="AN52" s="19">
        <f t="shared" si="38"/>
        <v>3125</v>
      </c>
      <c r="AO52" s="19">
        <f t="shared" si="38"/>
        <v>3125</v>
      </c>
      <c r="AP52" s="19"/>
      <c r="AQ52" s="19"/>
    </row>
    <row r="53" spans="1:52" ht="15.75" hidden="1" customHeight="1" x14ac:dyDescent="0.25">
      <c r="A53" s="5" t="s">
        <v>130</v>
      </c>
      <c r="B53" s="19"/>
      <c r="C53" s="1"/>
      <c r="D53" s="1"/>
      <c r="E53" s="1"/>
      <c r="F53" s="19">
        <v>0</v>
      </c>
      <c r="G53" s="19">
        <v>0</v>
      </c>
      <c r="H53" s="19">
        <v>0</v>
      </c>
      <c r="I53" s="19">
        <v>0</v>
      </c>
      <c r="J53" s="19">
        <f t="shared" ref="J53:O53" si="39">I53</f>
        <v>0</v>
      </c>
      <c r="K53" s="19">
        <f t="shared" si="39"/>
        <v>0</v>
      </c>
      <c r="L53" s="19">
        <f t="shared" si="39"/>
        <v>0</v>
      </c>
      <c r="M53" s="19">
        <f t="shared" si="39"/>
        <v>0</v>
      </c>
      <c r="N53" s="19">
        <f t="shared" si="39"/>
        <v>0</v>
      </c>
      <c r="O53" s="19">
        <f t="shared" si="39"/>
        <v>0</v>
      </c>
      <c r="P53" s="19">
        <f t="shared" ref="P53:U53" si="40">O53</f>
        <v>0</v>
      </c>
      <c r="Q53" s="19">
        <f t="shared" si="40"/>
        <v>0</v>
      </c>
      <c r="R53" s="19">
        <f t="shared" si="40"/>
        <v>0</v>
      </c>
      <c r="S53" s="19">
        <f t="shared" si="40"/>
        <v>0</v>
      </c>
      <c r="T53" s="19">
        <f t="shared" si="40"/>
        <v>0</v>
      </c>
      <c r="U53" s="19">
        <f t="shared" si="40"/>
        <v>0</v>
      </c>
      <c r="V53" s="19">
        <f>U53</f>
        <v>0</v>
      </c>
      <c r="W53" s="19">
        <f t="shared" ref="W53:AO53" si="41">V53</f>
        <v>0</v>
      </c>
      <c r="X53" s="19">
        <f t="shared" si="41"/>
        <v>0</v>
      </c>
      <c r="Y53" s="19">
        <f t="shared" si="41"/>
        <v>0</v>
      </c>
      <c r="Z53" s="19">
        <f t="shared" si="41"/>
        <v>0</v>
      </c>
      <c r="AA53" s="19">
        <f t="shared" si="41"/>
        <v>0</v>
      </c>
      <c r="AB53" s="19">
        <f t="shared" si="41"/>
        <v>0</v>
      </c>
      <c r="AC53" s="19">
        <f t="shared" si="41"/>
        <v>0</v>
      </c>
      <c r="AD53" s="19">
        <f t="shared" si="41"/>
        <v>0</v>
      </c>
      <c r="AE53" s="19">
        <f t="shared" si="41"/>
        <v>0</v>
      </c>
      <c r="AF53" s="19">
        <f t="shared" si="41"/>
        <v>0</v>
      </c>
      <c r="AG53" s="19">
        <f t="shared" si="41"/>
        <v>0</v>
      </c>
      <c r="AH53" s="19">
        <f t="shared" si="41"/>
        <v>0</v>
      </c>
      <c r="AI53" s="19">
        <f t="shared" si="41"/>
        <v>0</v>
      </c>
      <c r="AJ53" s="19">
        <f t="shared" si="41"/>
        <v>0</v>
      </c>
      <c r="AK53" s="19">
        <f t="shared" si="41"/>
        <v>0</v>
      </c>
      <c r="AL53" s="19">
        <f t="shared" si="41"/>
        <v>0</v>
      </c>
      <c r="AM53" s="19">
        <f t="shared" si="41"/>
        <v>0</v>
      </c>
      <c r="AN53" s="19">
        <f t="shared" si="41"/>
        <v>0</v>
      </c>
      <c r="AO53" s="19">
        <f t="shared" si="41"/>
        <v>0</v>
      </c>
      <c r="AP53" s="19"/>
    </row>
    <row r="54" spans="1:52" ht="15.75" hidden="1" customHeight="1" x14ac:dyDescent="0.25">
      <c r="A54" s="5" t="s">
        <v>133</v>
      </c>
      <c r="B54" s="19"/>
      <c r="C54" s="1"/>
      <c r="D54" s="1"/>
      <c r="E54" s="1"/>
      <c r="F54" s="19"/>
      <c r="G54" s="19"/>
      <c r="H54" s="48">
        <v>0</v>
      </c>
      <c r="I54" s="19">
        <v>0</v>
      </c>
      <c r="J54" s="19">
        <v>0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</row>
    <row r="55" spans="1:52" ht="15.75" hidden="1" customHeight="1" x14ac:dyDescent="0.25">
      <c r="A55" s="5" t="s">
        <v>105</v>
      </c>
      <c r="B55" s="19"/>
      <c r="C55" s="1"/>
      <c r="D55" s="1"/>
      <c r="E55" s="1"/>
      <c r="F55" s="19"/>
      <c r="G55" s="19"/>
      <c r="H55" s="19">
        <v>0</v>
      </c>
      <c r="I55" s="19">
        <v>0</v>
      </c>
      <c r="J55" s="19">
        <v>0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</row>
    <row r="56" spans="1:52" ht="15.75" hidden="1" customHeight="1" x14ac:dyDescent="0.25">
      <c r="A56" s="5" t="s">
        <v>143</v>
      </c>
      <c r="B56" s="19"/>
      <c r="C56" s="1"/>
      <c r="D56" s="1"/>
      <c r="E56" s="1"/>
      <c r="F56" s="19"/>
      <c r="G56" s="19"/>
      <c r="H56" s="19">
        <v>0</v>
      </c>
      <c r="I56" s="19">
        <v>0</v>
      </c>
      <c r="J56" s="19">
        <v>0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</row>
    <row r="57" spans="1:52" ht="15.75" hidden="1" customHeight="1" x14ac:dyDescent="0.25">
      <c r="A57" s="5"/>
      <c r="B57" s="19"/>
      <c r="C57" s="1"/>
      <c r="D57" s="1"/>
      <c r="E57" s="1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</row>
    <row r="58" spans="1:52" ht="15.75" customHeight="1" x14ac:dyDescent="0.25">
      <c r="A58" s="5" t="s">
        <v>140</v>
      </c>
      <c r="B58" s="19"/>
      <c r="C58" s="1"/>
      <c r="D58" s="1"/>
      <c r="E58" s="1"/>
      <c r="F58" s="19"/>
      <c r="G58" s="37">
        <f t="shared" ref="G58:N58" si="42">SUM(G43:G57)</f>
        <v>1639635.23</v>
      </c>
      <c r="H58" s="37">
        <f t="shared" si="42"/>
        <v>6508465.5899999999</v>
      </c>
      <c r="I58" s="37">
        <f t="shared" si="42"/>
        <v>1418573.86</v>
      </c>
      <c r="J58" s="37">
        <f t="shared" si="42"/>
        <v>1683320.67</v>
      </c>
      <c r="K58" s="37">
        <f t="shared" si="42"/>
        <v>227824.66999999998</v>
      </c>
      <c r="L58" s="37">
        <f t="shared" si="42"/>
        <v>696554.01699999999</v>
      </c>
      <c r="M58" s="37">
        <f t="shared" si="42"/>
        <v>511320.54999999993</v>
      </c>
      <c r="N58" s="37">
        <f t="shared" si="42"/>
        <v>787876</v>
      </c>
      <c r="O58" s="37">
        <f t="shared" ref="O58:U58" si="43">SUM(O43:O57)</f>
        <v>1202899.4904999998</v>
      </c>
      <c r="P58" s="37">
        <f t="shared" si="43"/>
        <v>971485.15999999992</v>
      </c>
      <c r="Q58" s="37">
        <f t="shared" si="43"/>
        <v>1152047.3729999999</v>
      </c>
      <c r="R58" s="37">
        <f t="shared" si="43"/>
        <v>912512.60899999994</v>
      </c>
      <c r="S58" s="37">
        <f t="shared" si="43"/>
        <v>1054436.3305000002</v>
      </c>
      <c r="T58" s="37">
        <f t="shared" si="43"/>
        <v>1122780.8804999997</v>
      </c>
      <c r="U58" s="37">
        <f t="shared" si="43"/>
        <v>1202579.1100000001</v>
      </c>
      <c r="V58" s="37">
        <f t="shared" ref="V58:AB58" si="44">SUM(V43:V57)</f>
        <v>1374457.3800000001</v>
      </c>
      <c r="W58" s="37">
        <f t="shared" si="44"/>
        <v>1296330.29</v>
      </c>
      <c r="X58" s="37">
        <f t="shared" si="44"/>
        <v>1013279.4600000001</v>
      </c>
      <c r="Y58" s="37" t="e">
        <f t="shared" si="44"/>
        <v>#REF!</v>
      </c>
      <c r="Z58" s="37" t="e">
        <f t="shared" si="44"/>
        <v>#REF!</v>
      </c>
      <c r="AA58" s="37" t="e">
        <f t="shared" si="44"/>
        <v>#REF!</v>
      </c>
      <c r="AB58" s="37" t="e">
        <f t="shared" si="44"/>
        <v>#REF!</v>
      </c>
      <c r="AC58" s="37">
        <f t="shared" ref="AC58:AH58" si="45">SUM(AC43:AC57)</f>
        <v>571317.46530000004</v>
      </c>
      <c r="AD58" s="37">
        <f t="shared" si="45"/>
        <v>561883.70440000005</v>
      </c>
      <c r="AE58" s="37">
        <f t="shared" si="45"/>
        <v>352055.93357391661</v>
      </c>
      <c r="AF58" s="37">
        <f t="shared" si="45"/>
        <v>373308.06509897014</v>
      </c>
      <c r="AG58" s="37">
        <f t="shared" si="45"/>
        <v>955976.26934401062</v>
      </c>
      <c r="AH58" s="37">
        <f t="shared" si="45"/>
        <v>1213126.209526015</v>
      </c>
      <c r="AI58" s="37">
        <f t="shared" ref="AI58:AJ58" si="46">SUM(AI43:AI57)</f>
        <v>353969.74850215315</v>
      </c>
      <c r="AJ58" s="37">
        <f t="shared" si="46"/>
        <v>911671.40931944828</v>
      </c>
      <c r="AK58" s="37">
        <f t="shared" ref="AK58:AL58" si="47">SUM(AK43:AK57)</f>
        <v>529079.25416267873</v>
      </c>
      <c r="AL58" s="37">
        <f t="shared" si="47"/>
        <v>847160.88357895473</v>
      </c>
      <c r="AM58" s="37">
        <f t="shared" ref="AM58:AN58" si="48">SUM(AM43:AM57)</f>
        <v>824056.17575277272</v>
      </c>
      <c r="AN58" s="37">
        <f t="shared" si="48"/>
        <v>785893.5639098445</v>
      </c>
      <c r="AO58" s="37">
        <f t="shared" ref="AO58" si="49">SUM(AO43:AO57)</f>
        <v>722747.0008989179</v>
      </c>
      <c r="AP58" s="19"/>
    </row>
    <row r="59" spans="1:52" ht="15.75" customHeight="1" x14ac:dyDescent="0.25">
      <c r="A59" s="5"/>
      <c r="B59" s="19"/>
      <c r="C59" s="1"/>
      <c r="D59" s="1"/>
      <c r="E59" s="1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</row>
    <row r="60" spans="1:52" ht="15.75" customHeight="1" x14ac:dyDescent="0.25">
      <c r="A60" s="5" t="s">
        <v>141</v>
      </c>
      <c r="B60" s="19"/>
      <c r="C60" s="1"/>
      <c r="D60" s="1"/>
      <c r="E60" s="1"/>
      <c r="F60" s="19"/>
      <c r="G60" s="19" t="e">
        <f t="shared" ref="G60:N60" si="50">G39+G58</f>
        <v>#REF!</v>
      </c>
      <c r="H60" s="19" t="e">
        <f t="shared" si="50"/>
        <v>#REF!</v>
      </c>
      <c r="I60" s="19" t="e">
        <f t="shared" si="50"/>
        <v>#REF!</v>
      </c>
      <c r="J60" s="19" t="e">
        <f t="shared" si="50"/>
        <v>#REF!</v>
      </c>
      <c r="K60" s="19" t="e">
        <f t="shared" si="50"/>
        <v>#REF!</v>
      </c>
      <c r="L60" s="19" t="e">
        <f t="shared" si="50"/>
        <v>#REF!</v>
      </c>
      <c r="M60" s="19" t="e">
        <f t="shared" si="50"/>
        <v>#REF!</v>
      </c>
      <c r="N60" s="19">
        <f t="shared" si="50"/>
        <v>7613642.7700000005</v>
      </c>
      <c r="O60" s="19">
        <f t="shared" ref="O60:T60" si="51">O39+O58</f>
        <v>7315656.4505000003</v>
      </c>
      <c r="P60" s="19">
        <f t="shared" si="51"/>
        <v>8594292.9800000004</v>
      </c>
      <c r="Q60" s="19">
        <f t="shared" si="51"/>
        <v>8688005.4130000006</v>
      </c>
      <c r="R60" s="19">
        <f t="shared" si="51"/>
        <v>8637629.8090000004</v>
      </c>
      <c r="S60" s="19">
        <f t="shared" si="51"/>
        <v>8556061.0804999992</v>
      </c>
      <c r="T60" s="19">
        <f t="shared" si="51"/>
        <v>8195309.1205000002</v>
      </c>
      <c r="U60" s="19">
        <f t="shared" ref="U60:Z60" si="52">U39+U58</f>
        <v>8225499.8700000001</v>
      </c>
      <c r="V60" s="19">
        <f t="shared" si="52"/>
        <v>7995688.8300000001</v>
      </c>
      <c r="W60" s="19">
        <f t="shared" si="52"/>
        <v>7882506.4475000007</v>
      </c>
      <c r="X60" s="19" t="e">
        <f t="shared" si="52"/>
        <v>#REF!</v>
      </c>
      <c r="Y60" s="19" t="e">
        <f t="shared" si="52"/>
        <v>#REF!</v>
      </c>
      <c r="Z60" s="19" t="e">
        <f t="shared" si="52"/>
        <v>#REF!</v>
      </c>
      <c r="AA60" s="19" t="e">
        <f t="shared" ref="AA60:AF60" si="53">AA39+AA58</f>
        <v>#REF!</v>
      </c>
      <c r="AB60" s="19" t="e">
        <f t="shared" si="53"/>
        <v>#REF!</v>
      </c>
      <c r="AC60" s="19">
        <f>AC39+AC58</f>
        <v>6120100.8453000002</v>
      </c>
      <c r="AD60" s="19">
        <f t="shared" si="53"/>
        <v>6160835.0743999993</v>
      </c>
      <c r="AE60" s="19">
        <f t="shared" si="53"/>
        <v>5935048.1335739158</v>
      </c>
      <c r="AF60" s="19">
        <f t="shared" si="53"/>
        <v>5849554.5050989715</v>
      </c>
      <c r="AG60" s="19">
        <f t="shared" ref="AG60" si="54">AG39+AG58</f>
        <v>6277645.0493440116</v>
      </c>
      <c r="AH60" s="19">
        <f t="shared" ref="AH60:AN60" si="55">AH39+AH58</f>
        <v>6149858.5495260153</v>
      </c>
      <c r="AI60" s="19">
        <f t="shared" si="55"/>
        <v>6132980.1185021522</v>
      </c>
      <c r="AJ60" s="19">
        <f t="shared" si="55"/>
        <v>6147366.0393194482</v>
      </c>
      <c r="AK60" s="19">
        <f t="shared" si="55"/>
        <v>6048313.4684821265</v>
      </c>
      <c r="AL60" s="19">
        <f t="shared" si="55"/>
        <v>6152657.0520610809</v>
      </c>
      <c r="AM60" s="19">
        <f t="shared" si="55"/>
        <v>6259630.4028138537</v>
      </c>
      <c r="AN60" s="19">
        <f t="shared" si="55"/>
        <v>6325189.2887236979</v>
      </c>
      <c r="AO60" s="19">
        <f t="shared" ref="AO60" si="56">AO39+AO58</f>
        <v>6341312.4986226158</v>
      </c>
      <c r="AP60" s="19"/>
    </row>
    <row r="61" spans="1:52" ht="15.75" customHeight="1" x14ac:dyDescent="0.25">
      <c r="A61" s="5"/>
      <c r="B61" s="19"/>
      <c r="C61" s="1"/>
      <c r="D61" s="1"/>
      <c r="E61" s="1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</row>
    <row r="62" spans="1:52" ht="15.75" customHeight="1" x14ac:dyDescent="0.25">
      <c r="A62" s="5" t="s">
        <v>136</v>
      </c>
      <c r="B62" s="19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9"/>
    </row>
    <row r="63" spans="1:52" ht="15.75" hidden="1" customHeight="1" x14ac:dyDescent="0.25">
      <c r="A63" s="5" t="s">
        <v>21</v>
      </c>
      <c r="B63" s="19"/>
      <c r="C63" s="1"/>
      <c r="D63" s="1"/>
      <c r="E63" s="1"/>
      <c r="F63" s="1">
        <v>53000</v>
      </c>
      <c r="G63" s="1">
        <f>F63+1800</f>
        <v>54800</v>
      </c>
      <c r="H63" s="1">
        <v>55414.7</v>
      </c>
      <c r="I63" s="1">
        <f t="shared" ref="I63:M64" si="57">H63</f>
        <v>55414.7</v>
      </c>
      <c r="J63" s="1">
        <f t="shared" si="57"/>
        <v>55414.7</v>
      </c>
      <c r="K63" s="1">
        <f t="shared" si="57"/>
        <v>55414.7</v>
      </c>
      <c r="L63" s="1">
        <f t="shared" si="57"/>
        <v>55414.7</v>
      </c>
      <c r="M63" s="1">
        <f t="shared" si="57"/>
        <v>55414.7</v>
      </c>
      <c r="N63" s="1">
        <f t="shared" ref="N63:Q64" si="58">M63</f>
        <v>55414.7</v>
      </c>
      <c r="O63" s="1">
        <f t="shared" si="58"/>
        <v>55414.7</v>
      </c>
      <c r="P63" s="1">
        <f>O63+(65000/26)</f>
        <v>57914.7</v>
      </c>
      <c r="Q63" s="1">
        <f>76201.91-Q64-Q65</f>
        <v>67051.42</v>
      </c>
      <c r="R63" s="1">
        <f t="shared" ref="R63:T64" si="59">Q63</f>
        <v>67051.42</v>
      </c>
      <c r="S63" s="1">
        <f t="shared" si="59"/>
        <v>67051.42</v>
      </c>
      <c r="T63" s="1">
        <f t="shared" si="59"/>
        <v>67051.42</v>
      </c>
      <c r="U63" s="1">
        <v>61200</v>
      </c>
      <c r="V63" s="1">
        <f t="shared" ref="V63:AJ63" si="60">U63</f>
        <v>61200</v>
      </c>
      <c r="W63" s="1">
        <f t="shared" si="60"/>
        <v>61200</v>
      </c>
      <c r="X63" s="1">
        <f t="shared" si="60"/>
        <v>61200</v>
      </c>
      <c r="Y63" s="1">
        <f t="shared" si="60"/>
        <v>61200</v>
      </c>
      <c r="Z63" s="1">
        <f t="shared" si="60"/>
        <v>61200</v>
      </c>
      <c r="AA63" s="1">
        <f t="shared" si="60"/>
        <v>61200</v>
      </c>
      <c r="AB63" s="1">
        <f t="shared" si="60"/>
        <v>61200</v>
      </c>
      <c r="AC63" s="1">
        <f t="shared" si="60"/>
        <v>61200</v>
      </c>
      <c r="AD63" s="1">
        <v>61701.04</v>
      </c>
      <c r="AE63" s="1">
        <v>61701.04</v>
      </c>
      <c r="AF63" s="1">
        <f>AE63/2*3</f>
        <v>92551.56</v>
      </c>
      <c r="AG63" s="1">
        <f>AE63</f>
        <v>61701.04</v>
      </c>
      <c r="AH63" s="1">
        <f>AG63</f>
        <v>61701.04</v>
      </c>
      <c r="AI63" s="1">
        <f>AH63</f>
        <v>61701.04</v>
      </c>
      <c r="AJ63" s="1">
        <f t="shared" si="60"/>
        <v>61701.04</v>
      </c>
      <c r="AK63" s="1">
        <f>AJ63*1.5</f>
        <v>92551.56</v>
      </c>
      <c r="AL63" s="1">
        <f>AJ63</f>
        <v>61701.04</v>
      </c>
      <c r="AM63" s="1">
        <f>AK63</f>
        <v>92551.56</v>
      </c>
      <c r="AN63" s="1">
        <f>AL63</f>
        <v>61701.04</v>
      </c>
      <c r="AO63" s="1">
        <f>AM63</f>
        <v>92551.56</v>
      </c>
      <c r="AP63" s="19"/>
      <c r="AQ63" s="3" t="s">
        <v>171</v>
      </c>
      <c r="AR63">
        <f>0.2*65000</f>
        <v>13000</v>
      </c>
    </row>
    <row r="64" spans="1:52" ht="15.75" hidden="1" customHeight="1" x14ac:dyDescent="0.25">
      <c r="A64" s="5" t="s">
        <v>175</v>
      </c>
      <c r="B64" s="19"/>
      <c r="C64" s="1"/>
      <c r="D64" s="1"/>
      <c r="E64" s="1"/>
      <c r="F64" s="1">
        <v>5963.91</v>
      </c>
      <c r="G64" s="1">
        <f>F64+1500</f>
        <v>7463.91</v>
      </c>
      <c r="H64" s="1">
        <v>6290.49</v>
      </c>
      <c r="I64" s="1">
        <f>H64+1800</f>
        <v>8090.49</v>
      </c>
      <c r="J64" s="1">
        <f t="shared" si="57"/>
        <v>8090.49</v>
      </c>
      <c r="K64" s="1">
        <f t="shared" si="57"/>
        <v>8090.49</v>
      </c>
      <c r="L64" s="1">
        <f t="shared" si="57"/>
        <v>8090.49</v>
      </c>
      <c r="M64" s="1">
        <f t="shared" si="57"/>
        <v>8090.49</v>
      </c>
      <c r="N64" s="1">
        <f t="shared" si="58"/>
        <v>8090.49</v>
      </c>
      <c r="O64" s="1">
        <f t="shared" si="58"/>
        <v>8090.49</v>
      </c>
      <c r="P64" s="1">
        <f>O64+(13000/26)</f>
        <v>8590.49</v>
      </c>
      <c r="Q64" s="1">
        <f t="shared" si="58"/>
        <v>8590.49</v>
      </c>
      <c r="R64" s="1">
        <f t="shared" si="59"/>
        <v>8590.49</v>
      </c>
      <c r="S64" s="1">
        <f t="shared" si="59"/>
        <v>8590.49</v>
      </c>
      <c r="T64" s="1">
        <f t="shared" si="59"/>
        <v>8590.49</v>
      </c>
      <c r="U64" s="1">
        <v>9161.75</v>
      </c>
      <c r="V64" s="1">
        <f t="shared" ref="V64:AJ65" si="61">U64</f>
        <v>9161.75</v>
      </c>
      <c r="W64" s="1">
        <f t="shared" si="61"/>
        <v>9161.75</v>
      </c>
      <c r="X64" s="1">
        <f t="shared" si="61"/>
        <v>9161.75</v>
      </c>
      <c r="Y64" s="1">
        <f t="shared" si="61"/>
        <v>9161.75</v>
      </c>
      <c r="Z64" s="1">
        <f t="shared" si="61"/>
        <v>9161.75</v>
      </c>
      <c r="AA64" s="1">
        <f t="shared" si="61"/>
        <v>9161.75</v>
      </c>
      <c r="AB64" s="1">
        <f t="shared" si="61"/>
        <v>9161.75</v>
      </c>
      <c r="AC64" s="1">
        <f t="shared" si="61"/>
        <v>9161.75</v>
      </c>
      <c r="AD64" s="1">
        <f>6955.62+5441.24</f>
        <v>12396.86</v>
      </c>
      <c r="AE64" s="1">
        <f>6955.62+5441.24</f>
        <v>12396.86</v>
      </c>
      <c r="AF64" s="1">
        <f>AE64/2*3</f>
        <v>18595.29</v>
      </c>
      <c r="AG64" s="1">
        <f>AE64</f>
        <v>12396.86</v>
      </c>
      <c r="AH64" s="1">
        <f t="shared" si="61"/>
        <v>12396.86</v>
      </c>
      <c r="AI64" s="1">
        <f t="shared" si="61"/>
        <v>12396.86</v>
      </c>
      <c r="AJ64" s="1">
        <f t="shared" si="61"/>
        <v>12396.86</v>
      </c>
      <c r="AK64" s="1">
        <f t="shared" ref="AK64:AK65" si="62">AJ64*1.5</f>
        <v>18595.29</v>
      </c>
      <c r="AL64" s="1">
        <f t="shared" ref="AL64:AO67" si="63">AJ64</f>
        <v>12396.86</v>
      </c>
      <c r="AM64" s="1">
        <f t="shared" si="63"/>
        <v>18595.29</v>
      </c>
      <c r="AN64" s="1">
        <f t="shared" si="63"/>
        <v>12396.86</v>
      </c>
      <c r="AO64" s="1">
        <f t="shared" si="63"/>
        <v>18595.29</v>
      </c>
      <c r="AP64" s="19"/>
      <c r="AQ64" s="3" t="s">
        <v>24</v>
      </c>
    </row>
    <row r="65" spans="1:43" ht="15.75" hidden="1" customHeight="1" x14ac:dyDescent="0.25">
      <c r="A65" s="5" t="s">
        <v>25</v>
      </c>
      <c r="B65" s="19"/>
      <c r="C65" s="1"/>
      <c r="D65" s="1"/>
      <c r="E65" s="1"/>
      <c r="F65" s="1">
        <v>560</v>
      </c>
      <c r="G65" s="1">
        <f>F65</f>
        <v>560</v>
      </c>
      <c r="H65" s="1">
        <f t="shared" ref="H65:U65" si="64">G65</f>
        <v>560</v>
      </c>
      <c r="I65" s="1">
        <f t="shared" si="64"/>
        <v>560</v>
      </c>
      <c r="J65" s="1">
        <f t="shared" si="64"/>
        <v>560</v>
      </c>
      <c r="K65" s="1">
        <f t="shared" si="64"/>
        <v>560</v>
      </c>
      <c r="L65" s="1">
        <f t="shared" si="64"/>
        <v>560</v>
      </c>
      <c r="M65" s="1">
        <f t="shared" si="64"/>
        <v>560</v>
      </c>
      <c r="N65" s="1">
        <f t="shared" si="64"/>
        <v>560</v>
      </c>
      <c r="O65" s="1">
        <f t="shared" si="64"/>
        <v>560</v>
      </c>
      <c r="P65" s="1">
        <f t="shared" si="64"/>
        <v>560</v>
      </c>
      <c r="Q65" s="1">
        <f t="shared" si="64"/>
        <v>560</v>
      </c>
      <c r="R65" s="1">
        <f t="shared" si="64"/>
        <v>560</v>
      </c>
      <c r="S65" s="1">
        <f t="shared" si="64"/>
        <v>560</v>
      </c>
      <c r="T65" s="1">
        <f t="shared" si="64"/>
        <v>560</v>
      </c>
      <c r="U65" s="1">
        <f t="shared" si="64"/>
        <v>560</v>
      </c>
      <c r="V65" s="1">
        <f t="shared" si="61"/>
        <v>560</v>
      </c>
      <c r="W65" s="1">
        <f t="shared" si="61"/>
        <v>560</v>
      </c>
      <c r="X65" s="1">
        <f t="shared" si="61"/>
        <v>560</v>
      </c>
      <c r="Y65" s="1">
        <f t="shared" si="61"/>
        <v>560</v>
      </c>
      <c r="Z65" s="1">
        <f t="shared" si="61"/>
        <v>560</v>
      </c>
      <c r="AA65" s="1">
        <f t="shared" si="61"/>
        <v>560</v>
      </c>
      <c r="AB65" s="1">
        <f t="shared" si="61"/>
        <v>560</v>
      </c>
      <c r="AC65" s="1">
        <f t="shared" si="61"/>
        <v>560</v>
      </c>
      <c r="AD65" s="1">
        <f t="shared" si="61"/>
        <v>560</v>
      </c>
      <c r="AE65" s="1">
        <v>560</v>
      </c>
      <c r="AF65" s="1">
        <f>AE65/2*3</f>
        <v>840</v>
      </c>
      <c r="AG65" s="1">
        <f t="shared" si="61"/>
        <v>840</v>
      </c>
      <c r="AH65" s="1">
        <f t="shared" si="61"/>
        <v>840</v>
      </c>
      <c r="AI65" s="1">
        <f t="shared" si="61"/>
        <v>840</v>
      </c>
      <c r="AJ65" s="1">
        <f t="shared" si="61"/>
        <v>840</v>
      </c>
      <c r="AK65" s="1">
        <f t="shared" si="62"/>
        <v>1260</v>
      </c>
      <c r="AL65" s="1">
        <f t="shared" si="63"/>
        <v>840</v>
      </c>
      <c r="AM65" s="1">
        <f t="shared" si="63"/>
        <v>1260</v>
      </c>
      <c r="AN65" s="1">
        <f t="shared" si="63"/>
        <v>840</v>
      </c>
      <c r="AO65" s="1">
        <f t="shared" si="63"/>
        <v>1260</v>
      </c>
      <c r="AP65" s="19"/>
      <c r="AQ65" s="3" t="s">
        <v>26</v>
      </c>
    </row>
    <row r="66" spans="1:43" ht="15.75" hidden="1" customHeight="1" x14ac:dyDescent="0.25">
      <c r="A66" s="5" t="s">
        <v>27</v>
      </c>
      <c r="B66" s="19"/>
      <c r="C66" s="1"/>
      <c r="D66" s="1"/>
      <c r="E66" s="1"/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f t="shared" si="63"/>
        <v>0</v>
      </c>
      <c r="AM66" s="1">
        <f t="shared" si="63"/>
        <v>0</v>
      </c>
      <c r="AN66" s="1">
        <f t="shared" si="63"/>
        <v>0</v>
      </c>
      <c r="AO66" s="1">
        <f t="shared" si="63"/>
        <v>0</v>
      </c>
      <c r="AP66" s="19"/>
      <c r="AQ66" s="3" t="s">
        <v>28</v>
      </c>
    </row>
    <row r="67" spans="1:43" ht="15.75" hidden="1" customHeight="1" x14ac:dyDescent="0.25">
      <c r="A67" s="5" t="s">
        <v>29</v>
      </c>
      <c r="B67" s="19"/>
      <c r="C67" s="4"/>
      <c r="D67" s="4"/>
      <c r="E67" s="4"/>
      <c r="F67" s="4">
        <v>21000</v>
      </c>
      <c r="G67" s="4">
        <f>F67</f>
        <v>21000</v>
      </c>
      <c r="H67" s="4">
        <f t="shared" ref="H67:M67" si="65">G67</f>
        <v>21000</v>
      </c>
      <c r="I67" s="4">
        <f t="shared" si="65"/>
        <v>21000</v>
      </c>
      <c r="J67" s="4">
        <f t="shared" si="65"/>
        <v>21000</v>
      </c>
      <c r="K67" s="4">
        <f t="shared" si="65"/>
        <v>21000</v>
      </c>
      <c r="L67" s="4">
        <f t="shared" si="65"/>
        <v>21000</v>
      </c>
      <c r="M67" s="4">
        <f t="shared" si="65"/>
        <v>21000</v>
      </c>
      <c r="N67" s="4">
        <f>M67</f>
        <v>21000</v>
      </c>
      <c r="O67" s="4">
        <v>0</v>
      </c>
      <c r="P67" s="4">
        <f>O67</f>
        <v>0</v>
      </c>
      <c r="Q67" s="4">
        <v>5000</v>
      </c>
      <c r="R67" s="4">
        <f>3000</f>
        <v>3000</v>
      </c>
      <c r="S67" s="4">
        <f>R67+500</f>
        <v>3500</v>
      </c>
      <c r="T67" s="4">
        <f>S67-500</f>
        <v>3000</v>
      </c>
      <c r="U67" s="4">
        <f>40485.41-U101</f>
        <v>29704.780000000006</v>
      </c>
      <c r="V67" s="4">
        <v>500</v>
      </c>
      <c r="W67" s="4">
        <f t="shared" ref="W67:AK67" si="66">V67</f>
        <v>500</v>
      </c>
      <c r="X67" s="4">
        <f t="shared" si="66"/>
        <v>500</v>
      </c>
      <c r="Y67" s="4">
        <f t="shared" si="66"/>
        <v>500</v>
      </c>
      <c r="Z67" s="4">
        <f t="shared" si="66"/>
        <v>500</v>
      </c>
      <c r="AA67" s="4">
        <f t="shared" si="66"/>
        <v>500</v>
      </c>
      <c r="AB67" s="4">
        <f t="shared" si="66"/>
        <v>500</v>
      </c>
      <c r="AC67" s="4">
        <f t="shared" si="66"/>
        <v>500</v>
      </c>
      <c r="AD67" s="4">
        <f t="shared" si="66"/>
        <v>500</v>
      </c>
      <c r="AE67" s="4">
        <f t="shared" si="66"/>
        <v>500</v>
      </c>
      <c r="AF67" s="4">
        <f t="shared" si="66"/>
        <v>500</v>
      </c>
      <c r="AG67" s="4">
        <f t="shared" si="66"/>
        <v>500</v>
      </c>
      <c r="AH67" s="4">
        <f t="shared" si="66"/>
        <v>500</v>
      </c>
      <c r="AI67" s="4">
        <f t="shared" si="66"/>
        <v>500</v>
      </c>
      <c r="AJ67" s="4">
        <f t="shared" si="66"/>
        <v>500</v>
      </c>
      <c r="AK67" s="4">
        <f t="shared" si="66"/>
        <v>500</v>
      </c>
      <c r="AL67" s="1">
        <f t="shared" si="63"/>
        <v>500</v>
      </c>
      <c r="AM67" s="1">
        <f t="shared" si="63"/>
        <v>500</v>
      </c>
      <c r="AN67" s="1">
        <f t="shared" si="63"/>
        <v>500</v>
      </c>
      <c r="AO67" s="1">
        <f t="shared" si="63"/>
        <v>500</v>
      </c>
      <c r="AP67" s="19"/>
      <c r="AQ67" s="3" t="s">
        <v>30</v>
      </c>
    </row>
    <row r="68" spans="1:43" ht="15.75" hidden="1" customHeight="1" x14ac:dyDescent="0.25">
      <c r="A68" s="5" t="s">
        <v>126</v>
      </c>
      <c r="B68" s="19"/>
      <c r="C68" s="1"/>
      <c r="D68" s="1"/>
      <c r="E68" s="1"/>
      <c r="F68" s="1">
        <f t="shared" ref="F68:M68" si="67">SUM(F63:F67)</f>
        <v>80523.91</v>
      </c>
      <c r="G68" s="1">
        <f t="shared" si="67"/>
        <v>83823.91</v>
      </c>
      <c r="H68" s="1">
        <f t="shared" si="67"/>
        <v>83265.19</v>
      </c>
      <c r="I68" s="1">
        <f t="shared" si="67"/>
        <v>85065.19</v>
      </c>
      <c r="J68" s="1">
        <f t="shared" si="67"/>
        <v>85065.19</v>
      </c>
      <c r="K68" s="1">
        <f t="shared" si="67"/>
        <v>85065.19</v>
      </c>
      <c r="L68" s="1">
        <f t="shared" si="67"/>
        <v>85065.19</v>
      </c>
      <c r="M68" s="1">
        <f t="shared" si="67"/>
        <v>85065.19</v>
      </c>
      <c r="N68" s="1">
        <f t="shared" ref="N68:S68" si="68">SUM(N63:N67)</f>
        <v>85065.19</v>
      </c>
      <c r="O68" s="1">
        <f t="shared" si="68"/>
        <v>64065.189999999995</v>
      </c>
      <c r="P68" s="1">
        <f t="shared" si="68"/>
        <v>67065.19</v>
      </c>
      <c r="Q68" s="1">
        <f t="shared" si="68"/>
        <v>81201.91</v>
      </c>
      <c r="R68" s="1">
        <f t="shared" si="68"/>
        <v>79201.91</v>
      </c>
      <c r="S68" s="1">
        <f t="shared" si="68"/>
        <v>79701.91</v>
      </c>
      <c r="T68" s="1">
        <f t="shared" ref="T68:Z68" si="69">SUM(T63:T67)</f>
        <v>79201.91</v>
      </c>
      <c r="U68" s="1">
        <f t="shared" si="69"/>
        <v>100626.53</v>
      </c>
      <c r="V68" s="1">
        <f t="shared" si="69"/>
        <v>71421.75</v>
      </c>
      <c r="W68" s="1">
        <f t="shared" si="69"/>
        <v>71421.75</v>
      </c>
      <c r="X68" s="1">
        <f t="shared" si="69"/>
        <v>71421.75</v>
      </c>
      <c r="Y68" s="1">
        <f t="shared" si="69"/>
        <v>71421.75</v>
      </c>
      <c r="Z68" s="1">
        <f t="shared" si="69"/>
        <v>71421.75</v>
      </c>
      <c r="AA68" s="1">
        <f t="shared" ref="AA68:AF68" si="70">SUM(AA63:AA67)</f>
        <v>71421.75</v>
      </c>
      <c r="AB68" s="1">
        <f t="shared" si="70"/>
        <v>71421.75</v>
      </c>
      <c r="AC68" s="1">
        <f t="shared" si="70"/>
        <v>71421.75</v>
      </c>
      <c r="AD68" s="1">
        <f t="shared" si="70"/>
        <v>75157.899999999994</v>
      </c>
      <c r="AE68" s="1">
        <f t="shared" si="70"/>
        <v>75157.899999999994</v>
      </c>
      <c r="AF68" s="1">
        <f t="shared" si="70"/>
        <v>112486.85</v>
      </c>
      <c r="AG68" s="1">
        <f t="shared" ref="AG68:AH68" si="71">SUM(AG63:AG67)</f>
        <v>75437.899999999994</v>
      </c>
      <c r="AH68" s="1">
        <f t="shared" si="71"/>
        <v>75437.899999999994</v>
      </c>
      <c r="AI68" s="1">
        <f t="shared" ref="AI68:AJ68" si="72">SUM(AI63:AI67)</f>
        <v>75437.899999999994</v>
      </c>
      <c r="AJ68" s="1">
        <f t="shared" si="72"/>
        <v>75437.899999999994</v>
      </c>
      <c r="AK68" s="1">
        <f t="shared" ref="AK68:AL68" si="73">SUM(AK63:AK67)</f>
        <v>112906.85</v>
      </c>
      <c r="AL68" s="1">
        <f t="shared" si="73"/>
        <v>75437.899999999994</v>
      </c>
      <c r="AM68" s="1">
        <f t="shared" ref="AM68:AN68" si="74">SUM(AM63:AM67)</f>
        <v>112906.85</v>
      </c>
      <c r="AN68" s="1">
        <f t="shared" si="74"/>
        <v>75437.899999999994</v>
      </c>
      <c r="AO68" s="1">
        <f t="shared" ref="AO68" si="75">SUM(AO63:AO67)</f>
        <v>112906.85</v>
      </c>
      <c r="AP68" s="19"/>
    </row>
    <row r="69" spans="1:43" ht="15.75" hidden="1" customHeight="1" x14ac:dyDescent="0.25">
      <c r="A69" s="5"/>
      <c r="B69" s="19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9"/>
    </row>
    <row r="70" spans="1:43" ht="15.75" hidden="1" customHeight="1" x14ac:dyDescent="0.25">
      <c r="A70" s="5"/>
      <c r="B70" s="19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9"/>
    </row>
    <row r="71" spans="1:43" ht="15.75" hidden="1" customHeight="1" x14ac:dyDescent="0.25">
      <c r="A71" s="5" t="s">
        <v>33</v>
      </c>
      <c r="B71" s="19"/>
      <c r="C71" s="1"/>
      <c r="D71" s="1"/>
      <c r="E71" s="1"/>
      <c r="F71" s="1">
        <v>3664.92</v>
      </c>
      <c r="G71" s="1">
        <f>F71</f>
        <v>3664.92</v>
      </c>
      <c r="H71" s="1">
        <f t="shared" ref="H71:T71" si="76">G71</f>
        <v>3664.92</v>
      </c>
      <c r="I71" s="1">
        <f t="shared" si="76"/>
        <v>3664.92</v>
      </c>
      <c r="J71" s="1">
        <f t="shared" si="76"/>
        <v>3664.92</v>
      </c>
      <c r="K71" s="1">
        <f t="shared" si="76"/>
        <v>3664.92</v>
      </c>
      <c r="L71" s="1">
        <f t="shared" si="76"/>
        <v>3664.92</v>
      </c>
      <c r="M71" s="1">
        <f t="shared" si="76"/>
        <v>3664.92</v>
      </c>
      <c r="N71" s="1">
        <f t="shared" si="76"/>
        <v>3664.92</v>
      </c>
      <c r="O71" s="1">
        <f t="shared" si="76"/>
        <v>3664.92</v>
      </c>
      <c r="P71" s="1">
        <f t="shared" si="76"/>
        <v>3664.92</v>
      </c>
      <c r="Q71" s="1">
        <f t="shared" si="76"/>
        <v>3664.92</v>
      </c>
      <c r="R71" s="1">
        <f>3665+415</f>
        <v>4080</v>
      </c>
      <c r="S71" s="1">
        <f t="shared" si="76"/>
        <v>4080</v>
      </c>
      <c r="T71" s="1">
        <f t="shared" si="76"/>
        <v>4080</v>
      </c>
      <c r="U71" s="1">
        <v>3665</v>
      </c>
      <c r="V71" s="1">
        <v>4150</v>
      </c>
      <c r="W71" s="1">
        <f t="shared" ref="W71:W77" si="77">V71</f>
        <v>4150</v>
      </c>
      <c r="X71" s="1">
        <f t="shared" ref="X71:X77" si="78">W71</f>
        <v>4150</v>
      </c>
      <c r="Y71" s="1">
        <f t="shared" ref="Y71:Y77" si="79">X71</f>
        <v>4150</v>
      </c>
      <c r="Z71" s="1">
        <f t="shared" ref="Z71:AO77" si="80">Y71</f>
        <v>4150</v>
      </c>
      <c r="AA71" s="1">
        <f t="shared" si="80"/>
        <v>4150</v>
      </c>
      <c r="AB71" s="1">
        <f t="shared" si="80"/>
        <v>4150</v>
      </c>
      <c r="AC71" s="1">
        <f t="shared" si="80"/>
        <v>4150</v>
      </c>
      <c r="AD71" s="1">
        <f t="shared" si="80"/>
        <v>4150</v>
      </c>
      <c r="AE71" s="1">
        <f t="shared" si="80"/>
        <v>4150</v>
      </c>
      <c r="AF71" s="1">
        <f t="shared" si="80"/>
        <v>4150</v>
      </c>
      <c r="AG71" s="1">
        <f t="shared" si="80"/>
        <v>4150</v>
      </c>
      <c r="AH71" s="1">
        <f t="shared" si="80"/>
        <v>4150</v>
      </c>
      <c r="AI71" s="1">
        <f t="shared" si="80"/>
        <v>4150</v>
      </c>
      <c r="AJ71" s="1">
        <f t="shared" si="80"/>
        <v>4150</v>
      </c>
      <c r="AK71" s="1">
        <f t="shared" si="80"/>
        <v>4150</v>
      </c>
      <c r="AL71" s="1">
        <f t="shared" si="80"/>
        <v>4150</v>
      </c>
      <c r="AM71" s="1">
        <f t="shared" si="80"/>
        <v>4150</v>
      </c>
      <c r="AN71" s="1">
        <f t="shared" si="80"/>
        <v>4150</v>
      </c>
      <c r="AO71" s="1">
        <f t="shared" si="80"/>
        <v>4150</v>
      </c>
      <c r="AP71" s="19"/>
      <c r="AQ71" s="3" t="s">
        <v>34</v>
      </c>
    </row>
    <row r="72" spans="1:43" ht="15.75" hidden="1" customHeight="1" x14ac:dyDescent="0.25">
      <c r="A72" s="5" t="s">
        <v>35</v>
      </c>
      <c r="B72" s="19"/>
      <c r="C72" s="1"/>
      <c r="D72" s="1"/>
      <c r="E72" s="1"/>
      <c r="F72" s="1">
        <f>430+180</f>
        <v>610</v>
      </c>
      <c r="G72" s="1">
        <f>400+30</f>
        <v>430</v>
      </c>
      <c r="H72" s="1">
        <f t="shared" ref="H72:M74" si="81">G72</f>
        <v>430</v>
      </c>
      <c r="I72" s="1">
        <f t="shared" si="81"/>
        <v>430</v>
      </c>
      <c r="J72" s="1">
        <f t="shared" si="81"/>
        <v>430</v>
      </c>
      <c r="K72" s="1">
        <f t="shared" si="81"/>
        <v>430</v>
      </c>
      <c r="L72" s="1">
        <f t="shared" si="81"/>
        <v>430</v>
      </c>
      <c r="M72" s="1">
        <f t="shared" si="81"/>
        <v>430</v>
      </c>
      <c r="N72" s="1">
        <f t="shared" ref="N72:U77" si="82">M72</f>
        <v>430</v>
      </c>
      <c r="O72" s="1">
        <f t="shared" si="82"/>
        <v>430</v>
      </c>
      <c r="P72" s="1">
        <f t="shared" si="82"/>
        <v>430</v>
      </c>
      <c r="Q72" s="1">
        <f t="shared" si="82"/>
        <v>430</v>
      </c>
      <c r="R72" s="1">
        <f t="shared" si="82"/>
        <v>430</v>
      </c>
      <c r="S72" s="1">
        <f t="shared" si="82"/>
        <v>430</v>
      </c>
      <c r="T72" s="1">
        <f t="shared" si="82"/>
        <v>430</v>
      </c>
      <c r="U72" s="1">
        <v>206</v>
      </c>
      <c r="V72" s="1">
        <v>420</v>
      </c>
      <c r="W72" s="1">
        <f t="shared" si="77"/>
        <v>420</v>
      </c>
      <c r="X72" s="1">
        <f t="shared" si="78"/>
        <v>420</v>
      </c>
      <c r="Y72" s="1">
        <f t="shared" si="79"/>
        <v>420</v>
      </c>
      <c r="Z72" s="1">
        <f t="shared" si="80"/>
        <v>420</v>
      </c>
      <c r="AA72" s="1">
        <f t="shared" si="80"/>
        <v>420</v>
      </c>
      <c r="AB72" s="1">
        <f t="shared" si="80"/>
        <v>420</v>
      </c>
      <c r="AC72" s="1">
        <f t="shared" si="80"/>
        <v>420</v>
      </c>
      <c r="AD72" s="1">
        <f t="shared" si="80"/>
        <v>420</v>
      </c>
      <c r="AE72" s="1">
        <f t="shared" si="80"/>
        <v>420</v>
      </c>
      <c r="AF72" s="1">
        <f t="shared" si="80"/>
        <v>420</v>
      </c>
      <c r="AG72" s="1">
        <f t="shared" si="80"/>
        <v>420</v>
      </c>
      <c r="AH72" s="1">
        <f t="shared" si="80"/>
        <v>420</v>
      </c>
      <c r="AI72" s="1">
        <f t="shared" si="80"/>
        <v>420</v>
      </c>
      <c r="AJ72" s="1">
        <f t="shared" si="80"/>
        <v>420</v>
      </c>
      <c r="AK72" s="1">
        <f t="shared" si="80"/>
        <v>420</v>
      </c>
      <c r="AL72" s="1">
        <f t="shared" si="80"/>
        <v>420</v>
      </c>
      <c r="AM72" s="1">
        <f t="shared" si="80"/>
        <v>420</v>
      </c>
      <c r="AN72" s="1">
        <f t="shared" si="80"/>
        <v>420</v>
      </c>
      <c r="AO72" s="1">
        <f t="shared" si="80"/>
        <v>420</v>
      </c>
      <c r="AP72" s="19"/>
      <c r="AQ72" s="3" t="s">
        <v>36</v>
      </c>
    </row>
    <row r="73" spans="1:43" ht="15.75" hidden="1" customHeight="1" x14ac:dyDescent="0.25">
      <c r="A73" s="5" t="s">
        <v>37</v>
      </c>
      <c r="B73" s="19"/>
      <c r="C73" s="1"/>
      <c r="D73" s="1"/>
      <c r="E73" s="1"/>
      <c r="F73" s="1">
        <f>220+100</f>
        <v>320</v>
      </c>
      <c r="G73" s="1">
        <f>200+400</f>
        <v>600</v>
      </c>
      <c r="H73" s="1">
        <f t="shared" si="81"/>
        <v>600</v>
      </c>
      <c r="I73" s="1">
        <f t="shared" si="81"/>
        <v>600</v>
      </c>
      <c r="J73" s="1">
        <f t="shared" si="81"/>
        <v>600</v>
      </c>
      <c r="K73" s="1">
        <f t="shared" si="81"/>
        <v>600</v>
      </c>
      <c r="L73" s="1">
        <f t="shared" si="81"/>
        <v>600</v>
      </c>
      <c r="M73" s="1">
        <f t="shared" si="81"/>
        <v>600</v>
      </c>
      <c r="N73" s="1">
        <f t="shared" si="82"/>
        <v>600</v>
      </c>
      <c r="O73" s="1">
        <f t="shared" si="82"/>
        <v>600</v>
      </c>
      <c r="P73" s="1">
        <f t="shared" si="82"/>
        <v>600</v>
      </c>
      <c r="Q73" s="1">
        <f t="shared" si="82"/>
        <v>600</v>
      </c>
      <c r="R73" s="1">
        <f t="shared" si="82"/>
        <v>600</v>
      </c>
      <c r="S73" s="1">
        <f t="shared" si="82"/>
        <v>600</v>
      </c>
      <c r="T73" s="1">
        <f t="shared" si="82"/>
        <v>600</v>
      </c>
      <c r="U73" s="1">
        <v>300</v>
      </c>
      <c r="V73" s="1">
        <f>U73</f>
        <v>300</v>
      </c>
      <c r="W73" s="1">
        <f t="shared" si="77"/>
        <v>300</v>
      </c>
      <c r="X73" s="1">
        <f t="shared" si="78"/>
        <v>300</v>
      </c>
      <c r="Y73" s="1">
        <f t="shared" si="79"/>
        <v>300</v>
      </c>
      <c r="Z73" s="1">
        <f t="shared" si="80"/>
        <v>300</v>
      </c>
      <c r="AA73" s="1">
        <f t="shared" si="80"/>
        <v>300</v>
      </c>
      <c r="AB73" s="1">
        <f t="shared" si="80"/>
        <v>300</v>
      </c>
      <c r="AC73" s="1">
        <f t="shared" si="80"/>
        <v>300</v>
      </c>
      <c r="AD73" s="1">
        <f t="shared" si="80"/>
        <v>300</v>
      </c>
      <c r="AE73" s="1">
        <f t="shared" si="80"/>
        <v>300</v>
      </c>
      <c r="AF73" s="1">
        <f t="shared" si="80"/>
        <v>300</v>
      </c>
      <c r="AG73" s="1">
        <f t="shared" si="80"/>
        <v>300</v>
      </c>
      <c r="AH73" s="1">
        <f t="shared" si="80"/>
        <v>300</v>
      </c>
      <c r="AI73" s="1">
        <f t="shared" si="80"/>
        <v>300</v>
      </c>
      <c r="AJ73" s="1">
        <f t="shared" si="80"/>
        <v>300</v>
      </c>
      <c r="AK73" s="1">
        <f t="shared" si="80"/>
        <v>300</v>
      </c>
      <c r="AL73" s="1">
        <f t="shared" si="80"/>
        <v>300</v>
      </c>
      <c r="AM73" s="1">
        <f t="shared" si="80"/>
        <v>300</v>
      </c>
      <c r="AN73" s="1">
        <f t="shared" si="80"/>
        <v>300</v>
      </c>
      <c r="AO73" s="1">
        <f t="shared" si="80"/>
        <v>300</v>
      </c>
      <c r="AP73" s="19"/>
      <c r="AQ73" s="3" t="s">
        <v>38</v>
      </c>
    </row>
    <row r="74" spans="1:43" ht="15.75" hidden="1" customHeight="1" x14ac:dyDescent="0.25">
      <c r="A74" s="5" t="s">
        <v>39</v>
      </c>
      <c r="B74" s="19"/>
      <c r="C74" s="1"/>
      <c r="D74" s="1"/>
      <c r="E74" s="1"/>
      <c r="F74" s="1">
        <v>1401.79</v>
      </c>
      <c r="G74" s="1">
        <f>1200+75</f>
        <v>1275</v>
      </c>
      <c r="H74" s="1">
        <f t="shared" si="81"/>
        <v>1275</v>
      </c>
      <c r="I74" s="1">
        <f t="shared" si="81"/>
        <v>1275</v>
      </c>
      <c r="J74" s="1">
        <f t="shared" si="81"/>
        <v>1275</v>
      </c>
      <c r="K74" s="1">
        <f t="shared" si="81"/>
        <v>1275</v>
      </c>
      <c r="L74" s="1">
        <f t="shared" si="81"/>
        <v>1275</v>
      </c>
      <c r="M74" s="1">
        <f t="shared" si="81"/>
        <v>1275</v>
      </c>
      <c r="N74" s="1">
        <f t="shared" si="82"/>
        <v>1275</v>
      </c>
      <c r="O74" s="1">
        <f t="shared" si="82"/>
        <v>1275</v>
      </c>
      <c r="P74" s="1">
        <f t="shared" si="82"/>
        <v>1275</v>
      </c>
      <c r="Q74" s="1">
        <f>P74+7000</f>
        <v>8275</v>
      </c>
      <c r="R74" s="1">
        <f>Q74-7000</f>
        <v>1275</v>
      </c>
      <c r="S74" s="1">
        <f t="shared" si="82"/>
        <v>1275</v>
      </c>
      <c r="T74" s="1">
        <f t="shared" si="82"/>
        <v>1275</v>
      </c>
      <c r="U74" s="1">
        <v>1400</v>
      </c>
      <c r="V74" s="1">
        <f>U74</f>
        <v>1400</v>
      </c>
      <c r="W74" s="1">
        <f t="shared" si="77"/>
        <v>1400</v>
      </c>
      <c r="X74" s="1">
        <f t="shared" si="78"/>
        <v>1400</v>
      </c>
      <c r="Y74" s="1">
        <f t="shared" si="79"/>
        <v>1400</v>
      </c>
      <c r="Z74" s="1">
        <f t="shared" si="80"/>
        <v>1400</v>
      </c>
      <c r="AA74" s="1">
        <f t="shared" si="80"/>
        <v>1400</v>
      </c>
      <c r="AB74" s="1">
        <f t="shared" si="80"/>
        <v>1400</v>
      </c>
      <c r="AC74" s="1">
        <f t="shared" si="80"/>
        <v>1400</v>
      </c>
      <c r="AD74" s="1">
        <f t="shared" si="80"/>
        <v>1400</v>
      </c>
      <c r="AE74" s="1">
        <v>1600</v>
      </c>
      <c r="AF74" s="1">
        <f t="shared" si="80"/>
        <v>1600</v>
      </c>
      <c r="AG74" s="1">
        <f t="shared" si="80"/>
        <v>1600</v>
      </c>
      <c r="AH74" s="1">
        <f t="shared" si="80"/>
        <v>1600</v>
      </c>
      <c r="AI74" s="1">
        <f t="shared" si="80"/>
        <v>1600</v>
      </c>
      <c r="AJ74" s="1">
        <f t="shared" si="80"/>
        <v>1600</v>
      </c>
      <c r="AK74" s="1">
        <f t="shared" si="80"/>
        <v>1600</v>
      </c>
      <c r="AL74" s="1">
        <f t="shared" si="80"/>
        <v>1600</v>
      </c>
      <c r="AM74" s="1">
        <f t="shared" si="80"/>
        <v>1600</v>
      </c>
      <c r="AN74" s="1">
        <f t="shared" si="80"/>
        <v>1600</v>
      </c>
      <c r="AO74" s="1">
        <f t="shared" si="80"/>
        <v>1600</v>
      </c>
      <c r="AP74" s="19"/>
      <c r="AQ74" s="3" t="s">
        <v>40</v>
      </c>
    </row>
    <row r="75" spans="1:43" ht="15.75" hidden="1" customHeight="1" x14ac:dyDescent="0.25">
      <c r="A75" s="5" t="s">
        <v>41</v>
      </c>
      <c r="B75" s="19"/>
      <c r="C75" s="1"/>
      <c r="D75" s="1"/>
      <c r="E75" s="1"/>
      <c r="F75" s="1">
        <v>200</v>
      </c>
      <c r="G75" s="1">
        <v>200</v>
      </c>
      <c r="H75" s="1">
        <v>200</v>
      </c>
      <c r="I75" s="1">
        <f t="shared" ref="I75:M77" si="83">H75</f>
        <v>200</v>
      </c>
      <c r="J75" s="1">
        <f t="shared" si="83"/>
        <v>200</v>
      </c>
      <c r="K75" s="1">
        <f t="shared" si="83"/>
        <v>200</v>
      </c>
      <c r="L75" s="1">
        <f t="shared" si="83"/>
        <v>200</v>
      </c>
      <c r="M75" s="1">
        <f t="shared" si="83"/>
        <v>200</v>
      </c>
      <c r="N75" s="1">
        <f t="shared" si="82"/>
        <v>200</v>
      </c>
      <c r="O75" s="1">
        <f t="shared" si="82"/>
        <v>200</v>
      </c>
      <c r="P75" s="1">
        <f t="shared" si="82"/>
        <v>200</v>
      </c>
      <c r="Q75" s="1">
        <v>500</v>
      </c>
      <c r="R75" s="1">
        <f t="shared" si="82"/>
        <v>500</v>
      </c>
      <c r="S75" s="1">
        <f t="shared" si="82"/>
        <v>500</v>
      </c>
      <c r="T75" s="1">
        <f t="shared" si="82"/>
        <v>500</v>
      </c>
      <c r="U75" s="1">
        <v>150</v>
      </c>
      <c r="V75" s="1">
        <f>U75</f>
        <v>150</v>
      </c>
      <c r="W75" s="1">
        <f t="shared" si="77"/>
        <v>150</v>
      </c>
      <c r="X75" s="1">
        <f t="shared" si="78"/>
        <v>150</v>
      </c>
      <c r="Y75" s="1">
        <f t="shared" si="79"/>
        <v>150</v>
      </c>
      <c r="Z75" s="1">
        <f t="shared" si="80"/>
        <v>150</v>
      </c>
      <c r="AA75" s="1">
        <f t="shared" si="80"/>
        <v>150</v>
      </c>
      <c r="AB75" s="1">
        <f t="shared" si="80"/>
        <v>150</v>
      </c>
      <c r="AC75" s="1">
        <f t="shared" si="80"/>
        <v>150</v>
      </c>
      <c r="AD75" s="1">
        <f t="shared" si="80"/>
        <v>150</v>
      </c>
      <c r="AE75" s="1">
        <f t="shared" si="80"/>
        <v>150</v>
      </c>
      <c r="AF75" s="1">
        <f t="shared" si="80"/>
        <v>150</v>
      </c>
      <c r="AG75" s="1">
        <f t="shared" si="80"/>
        <v>150</v>
      </c>
      <c r="AH75" s="1">
        <f t="shared" si="80"/>
        <v>150</v>
      </c>
      <c r="AI75" s="1">
        <f t="shared" si="80"/>
        <v>150</v>
      </c>
      <c r="AJ75" s="1">
        <f t="shared" si="80"/>
        <v>150</v>
      </c>
      <c r="AK75" s="1">
        <f t="shared" si="80"/>
        <v>150</v>
      </c>
      <c r="AL75" s="1">
        <f t="shared" si="80"/>
        <v>150</v>
      </c>
      <c r="AM75" s="1">
        <f t="shared" si="80"/>
        <v>150</v>
      </c>
      <c r="AN75" s="1">
        <f t="shared" si="80"/>
        <v>150</v>
      </c>
      <c r="AO75" s="1">
        <f t="shared" si="80"/>
        <v>150</v>
      </c>
      <c r="AP75" s="19"/>
      <c r="AQ75" s="3" t="s">
        <v>42</v>
      </c>
    </row>
    <row r="76" spans="1:43" ht="15.75" hidden="1" customHeight="1" x14ac:dyDescent="0.25">
      <c r="A76" s="5" t="s">
        <v>43</v>
      </c>
      <c r="B76" s="19"/>
      <c r="C76" s="1"/>
      <c r="D76" s="1"/>
      <c r="E76" s="1"/>
      <c r="F76" s="1">
        <v>340</v>
      </c>
      <c r="G76" s="1">
        <v>300</v>
      </c>
      <c r="H76" s="1">
        <f>G76</f>
        <v>300</v>
      </c>
      <c r="I76" s="1">
        <f t="shared" si="83"/>
        <v>300</v>
      </c>
      <c r="J76" s="1">
        <f t="shared" si="83"/>
        <v>300</v>
      </c>
      <c r="K76" s="1">
        <f t="shared" si="83"/>
        <v>300</v>
      </c>
      <c r="L76" s="1">
        <f t="shared" si="83"/>
        <v>300</v>
      </c>
      <c r="M76" s="1">
        <f t="shared" si="83"/>
        <v>300</v>
      </c>
      <c r="N76" s="1">
        <f t="shared" si="82"/>
        <v>300</v>
      </c>
      <c r="O76" s="1">
        <f t="shared" si="82"/>
        <v>300</v>
      </c>
      <c r="P76" s="1">
        <f t="shared" si="82"/>
        <v>300</v>
      </c>
      <c r="Q76" s="1">
        <v>500</v>
      </c>
      <c r="R76" s="1">
        <f t="shared" si="82"/>
        <v>500</v>
      </c>
      <c r="S76" s="1">
        <f t="shared" si="82"/>
        <v>500</v>
      </c>
      <c r="T76" s="1">
        <f t="shared" si="82"/>
        <v>500</v>
      </c>
      <c r="U76" s="1">
        <v>1128</v>
      </c>
      <c r="V76" s="1">
        <v>1200</v>
      </c>
      <c r="W76" s="1">
        <f t="shared" si="77"/>
        <v>1200</v>
      </c>
      <c r="X76" s="1">
        <f t="shared" si="78"/>
        <v>1200</v>
      </c>
      <c r="Y76" s="1">
        <f t="shared" si="79"/>
        <v>1200</v>
      </c>
      <c r="Z76" s="1">
        <f t="shared" si="80"/>
        <v>1200</v>
      </c>
      <c r="AA76" s="1">
        <f t="shared" si="80"/>
        <v>1200</v>
      </c>
      <c r="AB76" s="1">
        <f t="shared" si="80"/>
        <v>1200</v>
      </c>
      <c r="AC76" s="1">
        <f t="shared" si="80"/>
        <v>1200</v>
      </c>
      <c r="AD76" s="1">
        <f t="shared" si="80"/>
        <v>1200</v>
      </c>
      <c r="AE76" s="1">
        <f t="shared" si="80"/>
        <v>1200</v>
      </c>
      <c r="AF76" s="1">
        <f>AE76+22000</f>
        <v>23200</v>
      </c>
      <c r="AG76" s="1">
        <f>AE76</f>
        <v>1200</v>
      </c>
      <c r="AH76" s="1">
        <f t="shared" si="80"/>
        <v>1200</v>
      </c>
      <c r="AI76" s="1">
        <f t="shared" si="80"/>
        <v>1200</v>
      </c>
      <c r="AJ76" s="1">
        <f t="shared" si="80"/>
        <v>1200</v>
      </c>
      <c r="AK76" s="1">
        <f t="shared" si="80"/>
        <v>1200</v>
      </c>
      <c r="AL76" s="1">
        <f t="shared" si="80"/>
        <v>1200</v>
      </c>
      <c r="AM76" s="1">
        <f t="shared" si="80"/>
        <v>1200</v>
      </c>
      <c r="AN76" s="1">
        <f t="shared" si="80"/>
        <v>1200</v>
      </c>
      <c r="AO76" s="1">
        <f t="shared" si="80"/>
        <v>1200</v>
      </c>
      <c r="AP76" s="19"/>
      <c r="AQ76" s="3" t="s">
        <v>79</v>
      </c>
    </row>
    <row r="77" spans="1:43" ht="15.75" hidden="1" customHeight="1" x14ac:dyDescent="0.25">
      <c r="A77" s="5" t="s">
        <v>145</v>
      </c>
      <c r="B77" s="19"/>
      <c r="C77" s="1"/>
      <c r="D77" s="1"/>
      <c r="E77" s="1"/>
      <c r="F77" s="1">
        <v>75</v>
      </c>
      <c r="G77" s="1">
        <v>50</v>
      </c>
      <c r="H77" s="1">
        <f>G77</f>
        <v>50</v>
      </c>
      <c r="I77" s="1">
        <f t="shared" si="83"/>
        <v>50</v>
      </c>
      <c r="J77" s="1">
        <f t="shared" si="83"/>
        <v>50</v>
      </c>
      <c r="K77" s="1">
        <f t="shared" si="83"/>
        <v>50</v>
      </c>
      <c r="L77" s="1">
        <f t="shared" si="83"/>
        <v>50</v>
      </c>
      <c r="M77" s="1">
        <f t="shared" si="83"/>
        <v>50</v>
      </c>
      <c r="N77" s="1">
        <f t="shared" si="82"/>
        <v>50</v>
      </c>
      <c r="O77" s="1">
        <f t="shared" si="82"/>
        <v>50</v>
      </c>
      <c r="P77" s="1">
        <f t="shared" si="82"/>
        <v>50</v>
      </c>
      <c r="Q77" s="1">
        <f t="shared" si="82"/>
        <v>50</v>
      </c>
      <c r="R77" s="1">
        <f t="shared" si="82"/>
        <v>50</v>
      </c>
      <c r="S77" s="1">
        <f t="shared" si="82"/>
        <v>50</v>
      </c>
      <c r="T77" s="1">
        <f t="shared" si="82"/>
        <v>50</v>
      </c>
      <c r="U77" s="1">
        <f t="shared" si="82"/>
        <v>50</v>
      </c>
      <c r="V77" s="1">
        <f>U77</f>
        <v>50</v>
      </c>
      <c r="W77" s="1">
        <f t="shared" si="77"/>
        <v>50</v>
      </c>
      <c r="X77" s="1">
        <f t="shared" si="78"/>
        <v>50</v>
      </c>
      <c r="Y77" s="1">
        <f t="shared" si="79"/>
        <v>50</v>
      </c>
      <c r="Z77" s="1">
        <f t="shared" si="80"/>
        <v>50</v>
      </c>
      <c r="AA77" s="1">
        <f t="shared" si="80"/>
        <v>50</v>
      </c>
      <c r="AB77" s="1">
        <f t="shared" si="80"/>
        <v>50</v>
      </c>
      <c r="AC77" s="1">
        <f t="shared" si="80"/>
        <v>50</v>
      </c>
      <c r="AD77" s="1">
        <f t="shared" si="80"/>
        <v>50</v>
      </c>
      <c r="AE77" s="1">
        <f t="shared" si="80"/>
        <v>50</v>
      </c>
      <c r="AF77" s="1">
        <f t="shared" si="80"/>
        <v>50</v>
      </c>
      <c r="AG77" s="1">
        <f t="shared" si="80"/>
        <v>50</v>
      </c>
      <c r="AH77" s="1">
        <f t="shared" si="80"/>
        <v>50</v>
      </c>
      <c r="AI77" s="1">
        <f t="shared" si="80"/>
        <v>50</v>
      </c>
      <c r="AJ77" s="1">
        <f t="shared" si="80"/>
        <v>50</v>
      </c>
      <c r="AK77" s="1">
        <f t="shared" si="80"/>
        <v>50</v>
      </c>
      <c r="AL77" s="1">
        <f t="shared" si="80"/>
        <v>50</v>
      </c>
      <c r="AM77" s="1">
        <f t="shared" si="80"/>
        <v>50</v>
      </c>
      <c r="AN77" s="1">
        <f t="shared" si="80"/>
        <v>50</v>
      </c>
      <c r="AO77" s="1">
        <f t="shared" si="80"/>
        <v>50</v>
      </c>
      <c r="AP77" s="19"/>
      <c r="AQ77" s="3" t="s">
        <v>82</v>
      </c>
    </row>
    <row r="78" spans="1:43" ht="15.75" hidden="1" customHeight="1" x14ac:dyDescent="0.25">
      <c r="A78" s="5" t="s">
        <v>46</v>
      </c>
      <c r="B78" s="19"/>
      <c r="C78" s="1"/>
      <c r="D78" s="1"/>
      <c r="E78" s="1"/>
      <c r="F78" s="1">
        <v>100</v>
      </c>
      <c r="G78" s="1">
        <f>F78</f>
        <v>100</v>
      </c>
      <c r="H78" s="1">
        <f>G78</f>
        <v>100</v>
      </c>
      <c r="I78" s="1">
        <f>H78</f>
        <v>100</v>
      </c>
      <c r="J78" s="1">
        <f>500</f>
        <v>500</v>
      </c>
      <c r="K78" s="1">
        <f>500</f>
        <v>500</v>
      </c>
      <c r="L78" s="1">
        <f>500</f>
        <v>500</v>
      </c>
      <c r="M78" s="1">
        <f>500</f>
        <v>500</v>
      </c>
      <c r="N78" s="1">
        <f>500</f>
        <v>500</v>
      </c>
      <c r="O78" s="1">
        <f>500</f>
        <v>500</v>
      </c>
      <c r="P78" s="1">
        <f>500</f>
        <v>500</v>
      </c>
      <c r="Q78" s="1">
        <f>500</f>
        <v>500</v>
      </c>
      <c r="R78" s="1">
        <f>500</f>
        <v>500</v>
      </c>
      <c r="S78" s="1">
        <f>500</f>
        <v>500</v>
      </c>
      <c r="T78" s="1">
        <f>500</f>
        <v>500</v>
      </c>
      <c r="U78" s="1">
        <f>500</f>
        <v>500</v>
      </c>
      <c r="V78" s="1">
        <f>500</f>
        <v>500</v>
      </c>
      <c r="W78" s="1">
        <f>500</f>
        <v>500</v>
      </c>
      <c r="X78" s="1">
        <f>500</f>
        <v>500</v>
      </c>
      <c r="Y78" s="1">
        <f>500</f>
        <v>500</v>
      </c>
      <c r="Z78" s="1">
        <f>500</f>
        <v>500</v>
      </c>
      <c r="AA78" s="1">
        <f>500</f>
        <v>500</v>
      </c>
      <c r="AB78" s="1">
        <f>500</f>
        <v>500</v>
      </c>
      <c r="AC78" s="1">
        <f>500</f>
        <v>500</v>
      </c>
      <c r="AD78" s="1">
        <f>500</f>
        <v>500</v>
      </c>
      <c r="AE78" s="1">
        <f>500</f>
        <v>500</v>
      </c>
      <c r="AF78" s="1">
        <f>500</f>
        <v>500</v>
      </c>
      <c r="AG78" s="1">
        <f>500</f>
        <v>500</v>
      </c>
      <c r="AH78" s="1">
        <f>500</f>
        <v>500</v>
      </c>
      <c r="AI78" s="1">
        <f>500</f>
        <v>500</v>
      </c>
      <c r="AJ78" s="1">
        <f>500</f>
        <v>500</v>
      </c>
      <c r="AK78" s="1">
        <f>500</f>
        <v>500</v>
      </c>
      <c r="AL78" s="1">
        <f>500</f>
        <v>500</v>
      </c>
      <c r="AM78" s="1">
        <f>500</f>
        <v>500</v>
      </c>
      <c r="AN78" s="1">
        <f>500</f>
        <v>500</v>
      </c>
      <c r="AO78" s="1">
        <f>500</f>
        <v>500</v>
      </c>
      <c r="AP78" s="19"/>
      <c r="AQ78" s="3" t="s">
        <v>47</v>
      </c>
    </row>
    <row r="79" spans="1:43" ht="15.75" hidden="1" customHeight="1" x14ac:dyDescent="0.25">
      <c r="A79" s="5" t="s">
        <v>48</v>
      </c>
      <c r="B79" s="19"/>
      <c r="C79" s="1"/>
      <c r="D79" s="1"/>
      <c r="E79" s="1"/>
      <c r="F79" s="1">
        <v>385</v>
      </c>
      <c r="G79" s="1">
        <v>50</v>
      </c>
      <c r="H79" s="1">
        <f>G79</f>
        <v>50</v>
      </c>
      <c r="I79" s="1">
        <f>H79</f>
        <v>50</v>
      </c>
      <c r="J79" s="1">
        <f t="shared" ref="J79:O79" si="84">I79</f>
        <v>50</v>
      </c>
      <c r="K79" s="1">
        <f t="shared" si="84"/>
        <v>50</v>
      </c>
      <c r="L79" s="1">
        <f t="shared" si="84"/>
        <v>50</v>
      </c>
      <c r="M79" s="1">
        <f t="shared" si="84"/>
        <v>50</v>
      </c>
      <c r="N79" s="1">
        <f t="shared" si="84"/>
        <v>50</v>
      </c>
      <c r="O79" s="1">
        <f t="shared" si="84"/>
        <v>50</v>
      </c>
      <c r="P79" s="1">
        <f>O79</f>
        <v>50</v>
      </c>
      <c r="Q79" s="1">
        <v>200</v>
      </c>
      <c r="R79" s="1">
        <f>Q79</f>
        <v>200</v>
      </c>
      <c r="S79" s="1">
        <f>R79</f>
        <v>200</v>
      </c>
      <c r="T79" s="1">
        <f>S79</f>
        <v>200</v>
      </c>
      <c r="U79" s="1">
        <v>177.4</v>
      </c>
      <c r="V79" s="1">
        <f t="shared" ref="V79:AO80" si="85">U79</f>
        <v>177.4</v>
      </c>
      <c r="W79" s="1">
        <f t="shared" si="85"/>
        <v>177.4</v>
      </c>
      <c r="X79" s="1">
        <f t="shared" si="85"/>
        <v>177.4</v>
      </c>
      <c r="Y79" s="1">
        <f t="shared" si="85"/>
        <v>177.4</v>
      </c>
      <c r="Z79" s="1">
        <f t="shared" si="85"/>
        <v>177.4</v>
      </c>
      <c r="AA79" s="1">
        <f t="shared" si="85"/>
        <v>177.4</v>
      </c>
      <c r="AB79" s="1">
        <f t="shared" si="85"/>
        <v>177.4</v>
      </c>
      <c r="AC79" s="1">
        <f t="shared" si="85"/>
        <v>177.4</v>
      </c>
      <c r="AD79" s="1">
        <f t="shared" si="85"/>
        <v>177.4</v>
      </c>
      <c r="AE79" s="1">
        <f t="shared" si="85"/>
        <v>177.4</v>
      </c>
      <c r="AF79" s="1">
        <f t="shared" si="85"/>
        <v>177.4</v>
      </c>
      <c r="AG79" s="1">
        <f t="shared" si="85"/>
        <v>177.4</v>
      </c>
      <c r="AH79" s="1">
        <f t="shared" si="85"/>
        <v>177.4</v>
      </c>
      <c r="AI79" s="1">
        <f t="shared" si="85"/>
        <v>177.4</v>
      </c>
      <c r="AJ79" s="1">
        <f t="shared" si="85"/>
        <v>177.4</v>
      </c>
      <c r="AK79" s="1">
        <f t="shared" si="85"/>
        <v>177.4</v>
      </c>
      <c r="AL79" s="1">
        <f t="shared" si="85"/>
        <v>177.4</v>
      </c>
      <c r="AM79" s="1">
        <f t="shared" si="85"/>
        <v>177.4</v>
      </c>
      <c r="AN79" s="1">
        <f t="shared" si="85"/>
        <v>177.4</v>
      </c>
      <c r="AO79" s="1">
        <f t="shared" si="85"/>
        <v>177.4</v>
      </c>
      <c r="AP79" s="19"/>
      <c r="AQ79" s="3" t="s">
        <v>49</v>
      </c>
    </row>
    <row r="80" spans="1:43" ht="15.75" hidden="1" customHeight="1" x14ac:dyDescent="0.25">
      <c r="A80" s="5" t="s">
        <v>50</v>
      </c>
      <c r="B80" s="19"/>
      <c r="C80" s="1"/>
      <c r="D80" s="1"/>
      <c r="E80" s="1"/>
      <c r="F80" s="1"/>
      <c r="G80" s="1">
        <f>125+175</f>
        <v>300</v>
      </c>
      <c r="H80" s="1">
        <v>125</v>
      </c>
      <c r="I80" s="1">
        <f>125+100</f>
        <v>225</v>
      </c>
      <c r="J80" s="1">
        <f>125</f>
        <v>125</v>
      </c>
      <c r="K80" s="1">
        <f>125</f>
        <v>125</v>
      </c>
      <c r="L80" s="1">
        <f>225</f>
        <v>225</v>
      </c>
      <c r="M80" s="1">
        <f>125</f>
        <v>125</v>
      </c>
      <c r="N80" s="1">
        <f>125</f>
        <v>125</v>
      </c>
      <c r="O80" s="1">
        <f>125</f>
        <v>125</v>
      </c>
      <c r="P80" s="1">
        <f>125</f>
        <v>125</v>
      </c>
      <c r="Q80" s="1">
        <f>130</f>
        <v>130</v>
      </c>
      <c r="R80" s="1">
        <f>125</f>
        <v>125</v>
      </c>
      <c r="S80" s="1">
        <f>125</f>
        <v>125</v>
      </c>
      <c r="T80" s="1">
        <f>125</f>
        <v>125</v>
      </c>
      <c r="U80" s="1">
        <v>230</v>
      </c>
      <c r="V80" s="1">
        <f>125</f>
        <v>125</v>
      </c>
      <c r="W80" s="1">
        <f>125</f>
        <v>125</v>
      </c>
      <c r="X80" s="1">
        <v>230</v>
      </c>
      <c r="Y80" s="1">
        <f>125</f>
        <v>125</v>
      </c>
      <c r="Z80" s="1">
        <f>125</f>
        <v>125</v>
      </c>
      <c r="AA80" s="1">
        <f>125</f>
        <v>125</v>
      </c>
      <c r="AB80" s="1">
        <f>125</f>
        <v>125</v>
      </c>
      <c r="AC80" s="1">
        <f>125</f>
        <v>125</v>
      </c>
      <c r="AD80" s="1">
        <f>125</f>
        <v>125</v>
      </c>
      <c r="AE80" s="1">
        <v>135</v>
      </c>
      <c r="AF80" s="1">
        <f>AE80+20000</f>
        <v>20135</v>
      </c>
      <c r="AG80" s="1">
        <f>AE80+12000</f>
        <v>12135</v>
      </c>
      <c r="AH80" s="1">
        <f>AE80+13000</f>
        <v>13135</v>
      </c>
      <c r="AI80" s="1">
        <f>AH80-13000</f>
        <v>135</v>
      </c>
      <c r="AJ80" s="1">
        <f t="shared" si="85"/>
        <v>135</v>
      </c>
      <c r="AK80" s="1">
        <f t="shared" si="85"/>
        <v>135</v>
      </c>
      <c r="AL80" s="1">
        <f t="shared" si="85"/>
        <v>135</v>
      </c>
      <c r="AM80" s="1">
        <f t="shared" si="85"/>
        <v>135</v>
      </c>
      <c r="AN80" s="1">
        <f t="shared" si="85"/>
        <v>135</v>
      </c>
      <c r="AO80" s="1">
        <f t="shared" si="85"/>
        <v>135</v>
      </c>
      <c r="AP80" s="19"/>
      <c r="AQ80" s="3" t="s">
        <v>51</v>
      </c>
    </row>
    <row r="81" spans="1:47" ht="15.75" hidden="1" customHeight="1" x14ac:dyDescent="0.25">
      <c r="A81" s="5" t="s">
        <v>78</v>
      </c>
      <c r="B81" s="19"/>
      <c r="C81" s="1"/>
      <c r="D81" s="1"/>
      <c r="E81" s="1"/>
      <c r="F81" s="1">
        <v>0</v>
      </c>
      <c r="G81" s="1">
        <f>7005+11490+11490</f>
        <v>29985</v>
      </c>
      <c r="H81" s="1">
        <v>10000</v>
      </c>
      <c r="I81" s="1">
        <f t="shared" ref="I81:T81" si="86">H81</f>
        <v>10000</v>
      </c>
      <c r="J81" s="1">
        <f t="shared" si="86"/>
        <v>10000</v>
      </c>
      <c r="K81" s="1">
        <f t="shared" si="86"/>
        <v>10000</v>
      </c>
      <c r="L81" s="1">
        <f t="shared" si="86"/>
        <v>10000</v>
      </c>
      <c r="M81" s="1">
        <f t="shared" si="86"/>
        <v>10000</v>
      </c>
      <c r="N81" s="1">
        <f t="shared" si="86"/>
        <v>10000</v>
      </c>
      <c r="O81" s="1">
        <f t="shared" si="86"/>
        <v>10000</v>
      </c>
      <c r="P81" s="1">
        <f t="shared" si="86"/>
        <v>10000</v>
      </c>
      <c r="Q81" s="1">
        <v>1500</v>
      </c>
      <c r="R81" s="1">
        <f t="shared" si="86"/>
        <v>1500</v>
      </c>
      <c r="S81" s="1">
        <f t="shared" si="86"/>
        <v>1500</v>
      </c>
      <c r="T81" s="1">
        <f t="shared" si="86"/>
        <v>1500</v>
      </c>
      <c r="U81" s="1">
        <v>1904.53</v>
      </c>
      <c r="V81" s="1">
        <f t="shared" ref="V81:AO83" si="87">U81</f>
        <v>1904.53</v>
      </c>
      <c r="W81" s="1">
        <f t="shared" si="87"/>
        <v>1904.53</v>
      </c>
      <c r="X81" s="1">
        <f t="shared" si="87"/>
        <v>1904.53</v>
      </c>
      <c r="Y81" s="1">
        <f t="shared" si="87"/>
        <v>1904.53</v>
      </c>
      <c r="Z81" s="1">
        <f t="shared" si="87"/>
        <v>1904.53</v>
      </c>
      <c r="AA81" s="1">
        <f t="shared" si="87"/>
        <v>1904.53</v>
      </c>
      <c r="AB81" s="1">
        <f t="shared" si="87"/>
        <v>1904.53</v>
      </c>
      <c r="AC81" s="1">
        <f t="shared" si="87"/>
        <v>1904.53</v>
      </c>
      <c r="AD81" s="1">
        <f t="shared" si="87"/>
        <v>1904.53</v>
      </c>
      <c r="AE81" s="1">
        <f t="shared" si="87"/>
        <v>1904.53</v>
      </c>
      <c r="AF81" s="1">
        <f t="shared" si="87"/>
        <v>1904.53</v>
      </c>
      <c r="AG81" s="1">
        <f t="shared" si="87"/>
        <v>1904.53</v>
      </c>
      <c r="AH81" s="1">
        <f t="shared" si="87"/>
        <v>1904.53</v>
      </c>
      <c r="AI81" s="1">
        <f t="shared" si="87"/>
        <v>1904.53</v>
      </c>
      <c r="AJ81" s="1">
        <f t="shared" si="87"/>
        <v>1904.53</v>
      </c>
      <c r="AK81" s="1">
        <f t="shared" si="87"/>
        <v>1904.53</v>
      </c>
      <c r="AL81" s="1">
        <f t="shared" si="87"/>
        <v>1904.53</v>
      </c>
      <c r="AM81" s="1">
        <f t="shared" si="87"/>
        <v>1904.53</v>
      </c>
      <c r="AN81" s="1">
        <f t="shared" si="87"/>
        <v>1904.53</v>
      </c>
      <c r="AO81" s="1">
        <f t="shared" si="87"/>
        <v>1904.53</v>
      </c>
      <c r="AP81" s="19"/>
      <c r="AQ81" s="3" t="s">
        <v>53</v>
      </c>
    </row>
    <row r="82" spans="1:47" ht="15.75" hidden="1" customHeight="1" x14ac:dyDescent="0.25">
      <c r="A82" s="5" t="s">
        <v>127</v>
      </c>
      <c r="B82" s="19"/>
      <c r="C82" s="1"/>
      <c r="D82" s="1"/>
      <c r="E82" s="1"/>
      <c r="F82" s="1">
        <v>0</v>
      </c>
      <c r="G82" s="1">
        <f>F82</f>
        <v>0</v>
      </c>
      <c r="H82" s="1">
        <f t="shared" ref="H82:U82" si="88">G82</f>
        <v>0</v>
      </c>
      <c r="I82" s="1">
        <f t="shared" si="88"/>
        <v>0</v>
      </c>
      <c r="J82" s="1">
        <f t="shared" si="88"/>
        <v>0</v>
      </c>
      <c r="K82" s="1">
        <f t="shared" si="88"/>
        <v>0</v>
      </c>
      <c r="L82" s="1">
        <f t="shared" si="88"/>
        <v>0</v>
      </c>
      <c r="M82" s="1">
        <f t="shared" si="88"/>
        <v>0</v>
      </c>
      <c r="N82" s="1">
        <f t="shared" si="88"/>
        <v>0</v>
      </c>
      <c r="O82" s="1">
        <f t="shared" si="88"/>
        <v>0</v>
      </c>
      <c r="P82" s="1">
        <f t="shared" si="88"/>
        <v>0</v>
      </c>
      <c r="Q82" s="1">
        <f t="shared" si="88"/>
        <v>0</v>
      </c>
      <c r="R82" s="1">
        <f t="shared" si="88"/>
        <v>0</v>
      </c>
      <c r="S82" s="1">
        <f t="shared" si="88"/>
        <v>0</v>
      </c>
      <c r="T82" s="1">
        <f t="shared" si="88"/>
        <v>0</v>
      </c>
      <c r="U82" s="1">
        <f t="shared" si="88"/>
        <v>0</v>
      </c>
      <c r="V82" s="1">
        <f t="shared" si="87"/>
        <v>0</v>
      </c>
      <c r="W82" s="1">
        <f t="shared" si="87"/>
        <v>0</v>
      </c>
      <c r="X82" s="1">
        <f t="shared" si="87"/>
        <v>0</v>
      </c>
      <c r="Y82" s="1">
        <f t="shared" si="87"/>
        <v>0</v>
      </c>
      <c r="Z82" s="1">
        <f t="shared" si="87"/>
        <v>0</v>
      </c>
      <c r="AA82" s="1">
        <f t="shared" si="87"/>
        <v>0</v>
      </c>
      <c r="AB82" s="1">
        <f t="shared" si="87"/>
        <v>0</v>
      </c>
      <c r="AC82" s="1">
        <f t="shared" si="87"/>
        <v>0</v>
      </c>
      <c r="AD82" s="1">
        <f t="shared" si="87"/>
        <v>0</v>
      </c>
      <c r="AE82" s="1">
        <f t="shared" si="87"/>
        <v>0</v>
      </c>
      <c r="AF82" s="1">
        <f t="shared" si="87"/>
        <v>0</v>
      </c>
      <c r="AG82" s="1">
        <f t="shared" si="87"/>
        <v>0</v>
      </c>
      <c r="AH82" s="1">
        <f t="shared" si="87"/>
        <v>0</v>
      </c>
      <c r="AI82" s="1">
        <f t="shared" si="87"/>
        <v>0</v>
      </c>
      <c r="AJ82" s="1">
        <f t="shared" si="87"/>
        <v>0</v>
      </c>
      <c r="AK82" s="1">
        <f t="shared" si="87"/>
        <v>0</v>
      </c>
      <c r="AL82" s="1">
        <f t="shared" si="87"/>
        <v>0</v>
      </c>
      <c r="AM82" s="1">
        <f t="shared" si="87"/>
        <v>0</v>
      </c>
      <c r="AN82" s="1">
        <f t="shared" si="87"/>
        <v>0</v>
      </c>
      <c r="AO82" s="1">
        <f t="shared" si="87"/>
        <v>0</v>
      </c>
      <c r="AP82" s="19"/>
      <c r="AQ82" s="3" t="s">
        <v>128</v>
      </c>
    </row>
    <row r="83" spans="1:47" ht="15.75" hidden="1" customHeight="1" x14ac:dyDescent="0.25">
      <c r="A83" s="5" t="s">
        <v>52</v>
      </c>
      <c r="B83" s="19"/>
      <c r="C83" s="1"/>
      <c r="D83" s="1"/>
      <c r="E83" s="1"/>
      <c r="F83" s="1">
        <v>1374.62</v>
      </c>
      <c r="G83" s="1">
        <f>100</f>
        <v>100</v>
      </c>
      <c r="H83" s="1">
        <f>150</f>
        <v>150</v>
      </c>
      <c r="I83" s="1">
        <f t="shared" ref="I83:T83" si="89">H83</f>
        <v>150</v>
      </c>
      <c r="J83" s="1">
        <f t="shared" si="89"/>
        <v>150</v>
      </c>
      <c r="K83" s="1">
        <f t="shared" si="89"/>
        <v>150</v>
      </c>
      <c r="L83" s="1">
        <f t="shared" si="89"/>
        <v>150</v>
      </c>
      <c r="M83" s="1">
        <f t="shared" si="89"/>
        <v>150</v>
      </c>
      <c r="N83" s="1">
        <f t="shared" si="89"/>
        <v>150</v>
      </c>
      <c r="O83" s="1">
        <f t="shared" si="89"/>
        <v>150</v>
      </c>
      <c r="P83" s="1">
        <f t="shared" si="89"/>
        <v>150</v>
      </c>
      <c r="Q83" s="1">
        <f t="shared" si="89"/>
        <v>150</v>
      </c>
      <c r="R83" s="1">
        <f t="shared" si="89"/>
        <v>150</v>
      </c>
      <c r="S83" s="1">
        <f t="shared" si="89"/>
        <v>150</v>
      </c>
      <c r="T83" s="1">
        <f t="shared" si="89"/>
        <v>150</v>
      </c>
      <c r="U83" s="1">
        <v>180</v>
      </c>
      <c r="V83" s="1">
        <f t="shared" si="87"/>
        <v>180</v>
      </c>
      <c r="W83" s="1">
        <f t="shared" si="87"/>
        <v>180</v>
      </c>
      <c r="X83" s="1">
        <f t="shared" si="87"/>
        <v>180</v>
      </c>
      <c r="Y83" s="1">
        <f t="shared" si="87"/>
        <v>180</v>
      </c>
      <c r="Z83" s="1">
        <f t="shared" si="87"/>
        <v>180</v>
      </c>
      <c r="AA83" s="1">
        <f t="shared" si="87"/>
        <v>180</v>
      </c>
      <c r="AB83" s="1">
        <f t="shared" si="87"/>
        <v>180</v>
      </c>
      <c r="AC83" s="1">
        <f t="shared" si="87"/>
        <v>180</v>
      </c>
      <c r="AD83" s="1">
        <f t="shared" si="87"/>
        <v>180</v>
      </c>
      <c r="AE83" s="1">
        <f t="shared" si="87"/>
        <v>180</v>
      </c>
      <c r="AF83" s="1">
        <f t="shared" si="87"/>
        <v>180</v>
      </c>
      <c r="AG83" s="1">
        <f t="shared" si="87"/>
        <v>180</v>
      </c>
      <c r="AH83" s="1">
        <f t="shared" si="87"/>
        <v>180</v>
      </c>
      <c r="AI83" s="1">
        <f t="shared" si="87"/>
        <v>180</v>
      </c>
      <c r="AJ83" s="1">
        <f t="shared" si="87"/>
        <v>180</v>
      </c>
      <c r="AK83" s="1">
        <f t="shared" si="87"/>
        <v>180</v>
      </c>
      <c r="AL83" s="1">
        <f t="shared" si="87"/>
        <v>180</v>
      </c>
      <c r="AM83" s="1">
        <f t="shared" si="87"/>
        <v>180</v>
      </c>
      <c r="AN83" s="1">
        <f t="shared" si="87"/>
        <v>180</v>
      </c>
      <c r="AO83" s="1">
        <f t="shared" si="87"/>
        <v>180</v>
      </c>
      <c r="AP83" s="19"/>
      <c r="AQ83" s="3" t="s">
        <v>55</v>
      </c>
    </row>
    <row r="84" spans="1:47" ht="15.75" hidden="1" customHeight="1" x14ac:dyDescent="0.25">
      <c r="A84" s="5" t="s">
        <v>54</v>
      </c>
      <c r="B84" s="19"/>
      <c r="C84" s="1"/>
      <c r="D84" s="1"/>
      <c r="E84" s="1"/>
      <c r="F84" s="1">
        <v>118</v>
      </c>
      <c r="G84" s="1">
        <v>250</v>
      </c>
      <c r="H84" s="1">
        <f>G84</f>
        <v>250</v>
      </c>
      <c r="I84" s="1">
        <f>H84</f>
        <v>250</v>
      </c>
      <c r="J84" s="1">
        <f>I84</f>
        <v>250</v>
      </c>
      <c r="K84" s="1">
        <v>3000</v>
      </c>
      <c r="L84" s="1">
        <v>3000</v>
      </c>
      <c r="M84" s="1">
        <v>3000</v>
      </c>
      <c r="N84" s="1">
        <v>3000</v>
      </c>
      <c r="O84" s="1">
        <v>3000</v>
      </c>
      <c r="P84" s="1">
        <v>3000</v>
      </c>
      <c r="Q84" s="1">
        <v>3000</v>
      </c>
      <c r="R84" s="1">
        <v>3000</v>
      </c>
      <c r="S84" s="1">
        <v>3000</v>
      </c>
      <c r="T84" s="1">
        <v>3000</v>
      </c>
      <c r="U84" s="1">
        <v>50</v>
      </c>
      <c r="V84" s="1">
        <v>756</v>
      </c>
      <c r="W84" s="1">
        <v>500</v>
      </c>
      <c r="X84" s="1">
        <v>1500</v>
      </c>
      <c r="Y84" s="1">
        <v>3000</v>
      </c>
      <c r="Z84" s="1">
        <v>1500</v>
      </c>
      <c r="AA84" s="1">
        <v>1500</v>
      </c>
      <c r="AB84" s="1">
        <v>1500</v>
      </c>
      <c r="AC84" s="1">
        <v>1500</v>
      </c>
      <c r="AD84" s="1">
        <v>1500</v>
      </c>
      <c r="AE84" s="1">
        <v>1500</v>
      </c>
      <c r="AF84" s="1">
        <v>1500</v>
      </c>
      <c r="AG84" s="1">
        <v>1500</v>
      </c>
      <c r="AH84" s="1">
        <v>1500</v>
      </c>
      <c r="AI84" s="1">
        <v>1500</v>
      </c>
      <c r="AJ84" s="1">
        <v>1500</v>
      </c>
      <c r="AK84" s="1">
        <v>1500</v>
      </c>
      <c r="AL84" s="1">
        <v>1500</v>
      </c>
      <c r="AM84" s="1">
        <v>1500</v>
      </c>
      <c r="AN84" s="1">
        <v>1500</v>
      </c>
      <c r="AO84" s="1">
        <v>1500</v>
      </c>
      <c r="AP84" s="19"/>
      <c r="AQ84" s="3" t="s">
        <v>57</v>
      </c>
    </row>
    <row r="85" spans="1:47" ht="15.75" hidden="1" customHeight="1" x14ac:dyDescent="0.25">
      <c r="A85" s="5" t="s">
        <v>56</v>
      </c>
      <c r="B85" s="19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9"/>
    </row>
    <row r="86" spans="1:47" ht="15.75" hidden="1" customHeight="1" x14ac:dyDescent="0.25">
      <c r="A86" s="5" t="s">
        <v>58</v>
      </c>
      <c r="B86" s="19"/>
      <c r="C86" s="1"/>
      <c r="D86" s="1"/>
      <c r="E86" s="1"/>
      <c r="F86" s="1">
        <v>0</v>
      </c>
      <c r="G86" s="1">
        <v>0</v>
      </c>
      <c r="H86" s="1">
        <v>900</v>
      </c>
      <c r="I86" s="1">
        <v>0</v>
      </c>
      <c r="J86" s="1">
        <v>0</v>
      </c>
      <c r="K86" s="1">
        <v>900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9"/>
      <c r="AQ86" s="3" t="s">
        <v>61</v>
      </c>
    </row>
    <row r="87" spans="1:47" ht="15.75" hidden="1" customHeight="1" x14ac:dyDescent="0.25">
      <c r="A87" s="5" t="s">
        <v>60</v>
      </c>
      <c r="B87" s="19"/>
      <c r="C87" s="4"/>
      <c r="D87" s="4"/>
      <c r="E87" s="4"/>
      <c r="F87" s="39">
        <v>-181</v>
      </c>
      <c r="G87" s="39">
        <f>F87</f>
        <v>-181</v>
      </c>
      <c r="H87" s="39">
        <f t="shared" ref="H87:T87" si="90">G87</f>
        <v>-181</v>
      </c>
      <c r="I87" s="39">
        <f t="shared" si="90"/>
        <v>-181</v>
      </c>
      <c r="J87" s="39">
        <f t="shared" si="90"/>
        <v>-181</v>
      </c>
      <c r="K87" s="39">
        <f t="shared" si="90"/>
        <v>-181</v>
      </c>
      <c r="L87" s="39">
        <f t="shared" si="90"/>
        <v>-181</v>
      </c>
      <c r="M87" s="39">
        <f t="shared" si="90"/>
        <v>-181</v>
      </c>
      <c r="N87" s="39">
        <f t="shared" si="90"/>
        <v>-181</v>
      </c>
      <c r="O87" s="39">
        <f t="shared" si="90"/>
        <v>-181</v>
      </c>
      <c r="P87" s="39">
        <f t="shared" si="90"/>
        <v>-181</v>
      </c>
      <c r="Q87" s="39">
        <f t="shared" si="90"/>
        <v>-181</v>
      </c>
      <c r="R87" s="39">
        <f t="shared" si="90"/>
        <v>-181</v>
      </c>
      <c r="S87" s="39">
        <f t="shared" si="90"/>
        <v>-181</v>
      </c>
      <c r="T87" s="39">
        <f t="shared" si="90"/>
        <v>-181</v>
      </c>
      <c r="U87" s="39"/>
      <c r="V87" s="39">
        <f t="shared" ref="V87:AO87" si="91">U87</f>
        <v>0</v>
      </c>
      <c r="W87" s="39">
        <f t="shared" si="91"/>
        <v>0</v>
      </c>
      <c r="X87" s="39">
        <f t="shared" si="91"/>
        <v>0</v>
      </c>
      <c r="Y87" s="39">
        <f t="shared" si="91"/>
        <v>0</v>
      </c>
      <c r="Z87" s="39">
        <f t="shared" si="91"/>
        <v>0</v>
      </c>
      <c r="AA87" s="39">
        <f t="shared" si="91"/>
        <v>0</v>
      </c>
      <c r="AB87" s="39">
        <f t="shared" si="91"/>
        <v>0</v>
      </c>
      <c r="AC87" s="39">
        <f t="shared" si="91"/>
        <v>0</v>
      </c>
      <c r="AD87" s="39">
        <f t="shared" si="91"/>
        <v>0</v>
      </c>
      <c r="AE87" s="39">
        <f t="shared" si="91"/>
        <v>0</v>
      </c>
      <c r="AF87" s="39">
        <f t="shared" si="91"/>
        <v>0</v>
      </c>
      <c r="AG87" s="72">
        <f t="shared" si="91"/>
        <v>0</v>
      </c>
      <c r="AH87" s="72">
        <f t="shared" si="91"/>
        <v>0</v>
      </c>
      <c r="AI87" s="72">
        <f t="shared" si="91"/>
        <v>0</v>
      </c>
      <c r="AJ87" s="72">
        <f t="shared" si="91"/>
        <v>0</v>
      </c>
      <c r="AK87" s="72">
        <f t="shared" si="91"/>
        <v>0</v>
      </c>
      <c r="AL87" s="72">
        <f t="shared" si="91"/>
        <v>0</v>
      </c>
      <c r="AM87" s="72">
        <f t="shared" si="91"/>
        <v>0</v>
      </c>
      <c r="AN87" s="72">
        <f t="shared" si="91"/>
        <v>0</v>
      </c>
      <c r="AO87" s="72">
        <f t="shared" si="91"/>
        <v>0</v>
      </c>
      <c r="AP87" s="56"/>
    </row>
    <row r="88" spans="1:47" ht="15.75" hidden="1" customHeight="1" x14ac:dyDescent="0.25">
      <c r="A88" s="5" t="s">
        <v>135</v>
      </c>
      <c r="B88" s="19"/>
      <c r="C88" s="1">
        <f t="shared" ref="C88:M88" si="92">SUM(C71:C87)</f>
        <v>0</v>
      </c>
      <c r="D88" s="1">
        <f t="shared" si="92"/>
        <v>0</v>
      </c>
      <c r="E88" s="1">
        <f t="shared" si="92"/>
        <v>0</v>
      </c>
      <c r="F88" s="37">
        <f t="shared" si="92"/>
        <v>8408.33</v>
      </c>
      <c r="G88" s="4">
        <f t="shared" si="92"/>
        <v>37123.919999999998</v>
      </c>
      <c r="H88" s="4">
        <f t="shared" si="92"/>
        <v>17913.919999999998</v>
      </c>
      <c r="I88" s="4">
        <f t="shared" si="92"/>
        <v>17113.919999999998</v>
      </c>
      <c r="J88" s="4">
        <f t="shared" si="92"/>
        <v>17413.919999999998</v>
      </c>
      <c r="K88" s="4">
        <f t="shared" si="92"/>
        <v>21063.919999999998</v>
      </c>
      <c r="L88" s="4">
        <f t="shared" si="92"/>
        <v>20263.919999999998</v>
      </c>
      <c r="M88" s="4">
        <f t="shared" si="92"/>
        <v>20163.919999999998</v>
      </c>
      <c r="N88" s="4">
        <f t="shared" ref="N88:S88" si="93">SUM(N71:N87)</f>
        <v>20163.919999999998</v>
      </c>
      <c r="O88" s="4">
        <f t="shared" si="93"/>
        <v>20163.919999999998</v>
      </c>
      <c r="P88" s="4">
        <f t="shared" si="93"/>
        <v>20163.919999999998</v>
      </c>
      <c r="Q88" s="4">
        <f t="shared" si="93"/>
        <v>19318.919999999998</v>
      </c>
      <c r="R88" s="4">
        <f t="shared" si="93"/>
        <v>12729</v>
      </c>
      <c r="S88" s="4">
        <f t="shared" si="93"/>
        <v>12729</v>
      </c>
      <c r="T88" s="4">
        <f t="shared" ref="T88:Z88" si="94">SUM(T71:T87)</f>
        <v>12729</v>
      </c>
      <c r="U88" s="4">
        <f t="shared" si="94"/>
        <v>9940.93</v>
      </c>
      <c r="V88" s="4">
        <f t="shared" si="94"/>
        <v>11312.93</v>
      </c>
      <c r="W88" s="4">
        <f t="shared" si="94"/>
        <v>11056.93</v>
      </c>
      <c r="X88" s="4">
        <f t="shared" si="94"/>
        <v>12161.93</v>
      </c>
      <c r="Y88" s="4">
        <f t="shared" si="94"/>
        <v>13556.93</v>
      </c>
      <c r="Z88" s="4">
        <f t="shared" si="94"/>
        <v>12056.93</v>
      </c>
      <c r="AA88" s="4">
        <f t="shared" ref="AA88:AF88" si="95">SUM(AA71:AA87)</f>
        <v>12056.93</v>
      </c>
      <c r="AB88" s="4">
        <f t="shared" si="95"/>
        <v>12056.93</v>
      </c>
      <c r="AC88" s="4">
        <f t="shared" si="95"/>
        <v>12056.93</v>
      </c>
      <c r="AD88" s="4">
        <f t="shared" si="95"/>
        <v>12056.93</v>
      </c>
      <c r="AE88" s="4">
        <f t="shared" si="95"/>
        <v>12266.93</v>
      </c>
      <c r="AF88" s="4">
        <f t="shared" si="95"/>
        <v>54266.93</v>
      </c>
      <c r="AG88" s="4">
        <f t="shared" ref="AG88:AH88" si="96">SUM(AG71:AG87)</f>
        <v>24266.93</v>
      </c>
      <c r="AH88" s="4">
        <f t="shared" si="96"/>
        <v>25266.93</v>
      </c>
      <c r="AI88" s="4">
        <f t="shared" ref="AI88:AJ88" si="97">SUM(AI71:AI87)</f>
        <v>12266.93</v>
      </c>
      <c r="AJ88" s="4">
        <f t="shared" si="97"/>
        <v>12266.93</v>
      </c>
      <c r="AK88" s="4">
        <f t="shared" ref="AK88:AL88" si="98">SUM(AK71:AK87)</f>
        <v>12266.93</v>
      </c>
      <c r="AL88" s="4">
        <f t="shared" si="98"/>
        <v>12266.93</v>
      </c>
      <c r="AM88" s="4">
        <f t="shared" ref="AM88:AN88" si="99">SUM(AM71:AM87)</f>
        <v>12266.93</v>
      </c>
      <c r="AN88" s="4">
        <f t="shared" si="99"/>
        <v>12266.93</v>
      </c>
      <c r="AO88" s="4">
        <f t="shared" ref="AO88" si="100">SUM(AO71:AO87)</f>
        <v>12266.93</v>
      </c>
      <c r="AP88" s="19"/>
      <c r="AQ88" s="3" t="s">
        <v>1</v>
      </c>
    </row>
    <row r="89" spans="1:47" ht="15.75" hidden="1" customHeight="1" x14ac:dyDescent="0.25">
      <c r="A89" s="5" t="s">
        <v>174</v>
      </c>
      <c r="B89" s="19"/>
      <c r="C89" s="1"/>
      <c r="D89" s="1"/>
      <c r="E89" s="1"/>
      <c r="F89" s="49">
        <f t="shared" ref="F89:N89" si="101">SUM(F68+F88)</f>
        <v>88932.24</v>
      </c>
      <c r="G89" s="49">
        <f t="shared" si="101"/>
        <v>120947.83</v>
      </c>
      <c r="H89" s="49">
        <f t="shared" si="101"/>
        <v>101179.11</v>
      </c>
      <c r="I89" s="49">
        <f t="shared" si="101"/>
        <v>102179.11</v>
      </c>
      <c r="J89" s="49">
        <f t="shared" si="101"/>
        <v>102479.11</v>
      </c>
      <c r="K89" s="49">
        <f t="shared" si="101"/>
        <v>106129.11</v>
      </c>
      <c r="L89" s="49">
        <f t="shared" si="101"/>
        <v>105329.11</v>
      </c>
      <c r="M89" s="49">
        <f t="shared" si="101"/>
        <v>105229.11</v>
      </c>
      <c r="N89" s="49">
        <f t="shared" si="101"/>
        <v>105229.11</v>
      </c>
      <c r="O89" s="49">
        <f t="shared" ref="O89:T89" si="102">SUM(O68+O88)</f>
        <v>84229.109999999986</v>
      </c>
      <c r="P89" s="49">
        <f t="shared" si="102"/>
        <v>87229.11</v>
      </c>
      <c r="Q89" s="49">
        <f t="shared" si="102"/>
        <v>100520.83</v>
      </c>
      <c r="R89" s="49">
        <f t="shared" si="102"/>
        <v>91930.91</v>
      </c>
      <c r="S89" s="49">
        <f t="shared" si="102"/>
        <v>92430.91</v>
      </c>
      <c r="T89" s="49">
        <f t="shared" si="102"/>
        <v>91930.91</v>
      </c>
      <c r="U89" s="49">
        <v>113209</v>
      </c>
      <c r="V89" s="49">
        <v>106080.41</v>
      </c>
      <c r="W89" s="49">
        <v>96029.31</v>
      </c>
      <c r="X89" s="49">
        <f>W89+5000</f>
        <v>101029.31</v>
      </c>
      <c r="Y89" s="49">
        <f>X89+1500</f>
        <v>102529.31</v>
      </c>
      <c r="Z89" s="49">
        <f t="shared" ref="Z89:AB89" si="103">Y89-7500</f>
        <v>95029.31</v>
      </c>
      <c r="AA89" s="49">
        <f t="shared" si="103"/>
        <v>87529.31</v>
      </c>
      <c r="AB89" s="49">
        <f t="shared" si="103"/>
        <v>80029.31</v>
      </c>
      <c r="AC89" s="49">
        <f>AC68+AC88</f>
        <v>83478.679999999993</v>
      </c>
      <c r="AD89" s="49">
        <f>AD68+AD88</f>
        <v>87214.829999999987</v>
      </c>
      <c r="AE89" s="49">
        <f t="shared" ref="AE89:AJ89" si="104">AE68+AE88</f>
        <v>87424.829999999987</v>
      </c>
      <c r="AF89" s="49">
        <f t="shared" si="104"/>
        <v>166753.78</v>
      </c>
      <c r="AG89" s="49">
        <f t="shared" si="104"/>
        <v>99704.829999999987</v>
      </c>
      <c r="AH89" s="49">
        <f t="shared" si="104"/>
        <v>100704.82999999999</v>
      </c>
      <c r="AI89" s="49">
        <f t="shared" si="104"/>
        <v>87704.829999999987</v>
      </c>
      <c r="AJ89" s="49">
        <f t="shared" si="104"/>
        <v>87704.829999999987</v>
      </c>
      <c r="AK89" s="49">
        <f t="shared" ref="AK89:AL89" si="105">AK68+AK88</f>
        <v>125173.78</v>
      </c>
      <c r="AL89" s="49">
        <f t="shared" si="105"/>
        <v>87704.829999999987</v>
      </c>
      <c r="AM89" s="49">
        <f t="shared" ref="AM89:AN89" si="106">AM68+AM88</f>
        <v>125173.78</v>
      </c>
      <c r="AN89" s="49">
        <f t="shared" si="106"/>
        <v>87704.829999999987</v>
      </c>
      <c r="AO89" s="49">
        <f t="shared" ref="AO89" si="107">AO68+AO88</f>
        <v>125173.78</v>
      </c>
      <c r="AP89" s="19"/>
    </row>
    <row r="90" spans="1:47" ht="15.75" hidden="1" customHeight="1" x14ac:dyDescent="0.25">
      <c r="A90" s="5" t="s">
        <v>168</v>
      </c>
      <c r="B90" s="19"/>
      <c r="C90" s="1"/>
      <c r="D90" s="1"/>
      <c r="E90" s="1"/>
      <c r="F90" s="1"/>
      <c r="G90" s="1">
        <f>G89-1500-(G89*70%)</f>
        <v>34784.349000000002</v>
      </c>
      <c r="H90" s="1">
        <f>H89-1500-(H89*70%)</f>
        <v>28853.733000000007</v>
      </c>
      <c r="I90" s="1">
        <f>I89-1500-(I89*70%)</f>
        <v>29153.733000000007</v>
      </c>
      <c r="J90" s="1">
        <f>J89-1500-(J89*70%)-8708</f>
        <v>20535.733000000007</v>
      </c>
      <c r="K90" s="1">
        <f>K89-1500-(K89*70%)-8708</f>
        <v>21630.733000000007</v>
      </c>
      <c r="L90" s="1">
        <f>L89-1500-(L89*57.94%)-8708</f>
        <v>34093.423665999995</v>
      </c>
      <c r="M90" s="1">
        <f>M89-(M89*60%)</f>
        <v>42091.644</v>
      </c>
      <c r="N90" s="1">
        <f>N89-(N89*60%)</f>
        <v>42091.644</v>
      </c>
      <c r="O90" s="1">
        <f>O89-(O89*55%)</f>
        <v>37903.099499999989</v>
      </c>
      <c r="P90" s="1">
        <f>P89-(P89*55%)-P99</f>
        <v>39153.379499999995</v>
      </c>
      <c r="Q90" s="1">
        <f>Q89-(Q89*55%)-Q99</f>
        <v>45134.653499999993</v>
      </c>
      <c r="R90" s="1">
        <f>R89-(R89*55%)-R99</f>
        <v>41269.189499999993</v>
      </c>
      <c r="S90" s="1">
        <f>S89-(S89*55%)-S99</f>
        <v>41593.909499999994</v>
      </c>
      <c r="T90" s="1">
        <f>T89-(T89*55%)-T99</f>
        <v>41368.909499999994</v>
      </c>
      <c r="U90" s="1">
        <v>84453</v>
      </c>
      <c r="V90" s="1">
        <f>V89-(V89*50%)-V99</f>
        <v>53040.205000000002</v>
      </c>
      <c r="W90" s="1">
        <f>W89-(W89*55%)-W99</f>
        <v>43213.189499999993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9"/>
    </row>
    <row r="91" spans="1:47" ht="15.75" customHeight="1" x14ac:dyDescent="0.25">
      <c r="A91" s="5" t="s">
        <v>185</v>
      </c>
      <c r="B91" s="19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>
        <f t="shared" ref="X91:AB91" si="108">X89-(X89*63%)</f>
        <v>37380.844700000001</v>
      </c>
      <c r="Y91" s="1">
        <f>Y89-(Y89*65%)</f>
        <v>35885.258499999996</v>
      </c>
      <c r="Z91" s="1">
        <f>Z89-(Z89*63%)</f>
        <v>35160.844700000001</v>
      </c>
      <c r="AA91" s="1">
        <f t="shared" si="108"/>
        <v>32385.844700000001</v>
      </c>
      <c r="AB91" s="1">
        <f t="shared" si="108"/>
        <v>29610.844700000001</v>
      </c>
      <c r="AC91" s="1">
        <f>AC89-(AC89*AC41)</f>
        <v>35061.045599999998</v>
      </c>
      <c r="AD91" s="1">
        <f>AD89-(AD89*AD41)</f>
        <v>36630.228599999995</v>
      </c>
      <c r="AE91" s="1">
        <f t="shared" ref="AE91:AH91" si="109">AE89-(AE89*AE41)</f>
        <v>36718.428599999999</v>
      </c>
      <c r="AF91" s="1">
        <f t="shared" si="109"/>
        <v>76706.738799999992</v>
      </c>
      <c r="AG91" s="1">
        <f t="shared" si="109"/>
        <v>45864.221799999992</v>
      </c>
      <c r="AH91" s="1">
        <f t="shared" si="109"/>
        <v>48338.318399999989</v>
      </c>
      <c r="AI91" s="1">
        <f t="shared" ref="AI91:AJ91" si="110">AI89-(AI89*AI41)</f>
        <v>42098.318399999989</v>
      </c>
      <c r="AJ91" s="1">
        <f t="shared" si="110"/>
        <v>43852.414999999994</v>
      </c>
      <c r="AK91" s="1">
        <f t="shared" ref="AK91:AL91" si="111">AK89-(AK89*AK41)</f>
        <v>62586.89</v>
      </c>
      <c r="AL91" s="1">
        <f t="shared" si="111"/>
        <v>43852.414999999994</v>
      </c>
      <c r="AM91" s="1">
        <f t="shared" ref="AM91:AN91" si="112">AM89-(AM89*AM41)</f>
        <v>75104.267999999996</v>
      </c>
      <c r="AN91" s="1">
        <f t="shared" si="112"/>
        <v>61393.380999999994</v>
      </c>
      <c r="AO91" s="1">
        <f t="shared" ref="AO91" si="113">AO89-(AO89*AO41)</f>
        <v>100139.024</v>
      </c>
      <c r="AP91" s="19"/>
    </row>
    <row r="92" spans="1:47" ht="15.75" customHeight="1" x14ac:dyDescent="0.25">
      <c r="A92" s="5"/>
      <c r="B92" s="19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9"/>
    </row>
    <row r="93" spans="1:47" ht="15.75" customHeight="1" x14ac:dyDescent="0.25">
      <c r="A93" s="5" t="s">
        <v>151</v>
      </c>
      <c r="B93" s="19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9"/>
      <c r="AR93" t="s">
        <v>155</v>
      </c>
      <c r="AS93" t="s">
        <v>156</v>
      </c>
      <c r="AU93" t="s">
        <v>157</v>
      </c>
    </row>
    <row r="94" spans="1:47" ht="15.75" customHeight="1" x14ac:dyDescent="0.25">
      <c r="A94" s="5" t="s">
        <v>179</v>
      </c>
      <c r="B94" s="19"/>
      <c r="C94" s="1"/>
      <c r="D94" s="1"/>
      <c r="E94" s="1"/>
      <c r="F94" s="1"/>
      <c r="G94" s="59">
        <v>18</v>
      </c>
      <c r="H94" s="59">
        <v>14</v>
      </c>
      <c r="I94" s="59">
        <v>14</v>
      </c>
      <c r="J94" s="59">
        <v>3</v>
      </c>
      <c r="K94" s="59">
        <v>5</v>
      </c>
      <c r="L94" s="59">
        <v>8</v>
      </c>
      <c r="M94" s="59">
        <v>8</v>
      </c>
      <c r="N94" s="59">
        <v>11</v>
      </c>
      <c r="O94" s="59">
        <v>12</v>
      </c>
      <c r="P94" s="59">
        <v>14</v>
      </c>
      <c r="Q94" s="59">
        <v>11</v>
      </c>
      <c r="R94" s="59">
        <v>12</v>
      </c>
      <c r="S94" s="59">
        <v>14</v>
      </c>
      <c r="T94" s="59">
        <v>13</v>
      </c>
      <c r="U94" s="59">
        <v>17</v>
      </c>
      <c r="V94" s="59">
        <f>U94</f>
        <v>17</v>
      </c>
      <c r="W94" s="59">
        <v>13</v>
      </c>
      <c r="X94" s="59">
        <f>W94</f>
        <v>13</v>
      </c>
      <c r="Y94" s="59">
        <v>17</v>
      </c>
      <c r="Z94" s="59">
        <v>13</v>
      </c>
      <c r="AA94" s="59">
        <v>15</v>
      </c>
      <c r="AB94" s="59">
        <v>6</v>
      </c>
      <c r="AC94" s="59">
        <v>6</v>
      </c>
      <c r="AD94" s="59">
        <v>3</v>
      </c>
      <c r="AE94" s="59">
        <v>1</v>
      </c>
      <c r="AF94" s="59">
        <v>3</v>
      </c>
      <c r="AG94" s="59">
        <v>6</v>
      </c>
      <c r="AH94" s="59">
        <v>1</v>
      </c>
      <c r="AI94" s="59">
        <v>6</v>
      </c>
      <c r="AJ94" s="59">
        <v>2</v>
      </c>
      <c r="AK94" s="59">
        <v>3</v>
      </c>
      <c r="AL94" s="59">
        <v>3</v>
      </c>
      <c r="AM94" s="59">
        <v>3</v>
      </c>
      <c r="AN94" s="59">
        <v>1</v>
      </c>
      <c r="AO94" s="59">
        <v>0</v>
      </c>
      <c r="AP94" s="19"/>
      <c r="AQ94" s="66">
        <v>605</v>
      </c>
      <c r="AR94" t="s">
        <v>187</v>
      </c>
    </row>
    <row r="95" spans="1:47" ht="15.75" customHeight="1" x14ac:dyDescent="0.25">
      <c r="A95" s="71" t="s">
        <v>180</v>
      </c>
      <c r="B95" s="19"/>
      <c r="C95" s="1"/>
      <c r="D95" s="1"/>
      <c r="E95" s="1"/>
      <c r="F95" s="1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>
        <v>0</v>
      </c>
      <c r="X95" s="59">
        <v>1</v>
      </c>
      <c r="Y95" s="59">
        <v>1</v>
      </c>
      <c r="Z95" s="59">
        <v>1</v>
      </c>
      <c r="AA95" s="59">
        <v>0</v>
      </c>
      <c r="AB95" s="59">
        <v>1</v>
      </c>
      <c r="AC95" s="59">
        <v>1</v>
      </c>
      <c r="AD95" s="59">
        <v>0</v>
      </c>
      <c r="AE95" s="59">
        <v>2</v>
      </c>
      <c r="AF95" s="59">
        <v>1</v>
      </c>
      <c r="AG95" s="59">
        <v>1</v>
      </c>
      <c r="AH95" s="59">
        <v>1</v>
      </c>
      <c r="AI95" s="59">
        <v>1</v>
      </c>
      <c r="AJ95" s="59">
        <v>2</v>
      </c>
      <c r="AK95" s="59">
        <v>1</v>
      </c>
      <c r="AL95" s="59">
        <v>1</v>
      </c>
      <c r="AM95" s="59">
        <v>1</v>
      </c>
      <c r="AN95" s="59">
        <v>1</v>
      </c>
      <c r="AO95" s="59">
        <v>1</v>
      </c>
      <c r="AP95" s="19"/>
      <c r="AQ95" s="66"/>
    </row>
    <row r="96" spans="1:47" ht="15.75" hidden="1" customHeight="1" x14ac:dyDescent="0.25">
      <c r="A96" s="71" t="s">
        <v>198</v>
      </c>
      <c r="B96" s="19"/>
      <c r="C96" s="1"/>
      <c r="D96" s="1"/>
      <c r="E96" s="1"/>
      <c r="F96" s="1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>
        <v>1</v>
      </c>
      <c r="AF96" s="59">
        <v>0</v>
      </c>
      <c r="AG96" s="59">
        <v>0</v>
      </c>
      <c r="AH96" s="59">
        <v>0</v>
      </c>
      <c r="AI96" s="59">
        <v>0</v>
      </c>
      <c r="AJ96" s="59">
        <v>0</v>
      </c>
      <c r="AK96" s="59">
        <v>0</v>
      </c>
      <c r="AL96" s="59">
        <v>0</v>
      </c>
      <c r="AM96" s="59">
        <v>0</v>
      </c>
      <c r="AN96" s="59">
        <v>0</v>
      </c>
      <c r="AO96" s="59">
        <v>0</v>
      </c>
      <c r="AP96" s="19"/>
      <c r="AQ96" s="66"/>
    </row>
    <row r="97" spans="1:48" ht="15.75" customHeight="1" x14ac:dyDescent="0.25">
      <c r="A97" s="71" t="s">
        <v>199</v>
      </c>
      <c r="B97" s="19"/>
      <c r="C97" s="1"/>
      <c r="D97" s="1"/>
      <c r="E97" s="1"/>
      <c r="F97" s="1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>
        <v>1</v>
      </c>
      <c r="AG97" s="59">
        <v>1</v>
      </c>
      <c r="AH97" s="59">
        <v>1</v>
      </c>
      <c r="AI97" s="59">
        <v>2</v>
      </c>
      <c r="AJ97" s="59">
        <v>1</v>
      </c>
      <c r="AK97" s="59">
        <v>3</v>
      </c>
      <c r="AL97" s="59">
        <v>3</v>
      </c>
      <c r="AM97" s="59">
        <v>3</v>
      </c>
      <c r="AN97" s="59">
        <v>3</v>
      </c>
      <c r="AO97" s="59">
        <v>3</v>
      </c>
      <c r="AP97" s="19"/>
      <c r="AQ97" s="66">
        <v>125000</v>
      </c>
      <c r="AR97" t="s">
        <v>202</v>
      </c>
      <c r="AS97">
        <v>3500</v>
      </c>
      <c r="AT97" t="s">
        <v>203</v>
      </c>
    </row>
    <row r="98" spans="1:48" ht="15.75" customHeight="1" x14ac:dyDescent="0.25">
      <c r="A98" s="5" t="s">
        <v>146</v>
      </c>
      <c r="B98" s="19"/>
      <c r="C98" s="1"/>
      <c r="D98" s="1"/>
      <c r="E98" s="1"/>
      <c r="F98" s="1"/>
      <c r="G98" s="1">
        <f>($AR44*G94)</f>
        <v>1278000</v>
      </c>
      <c r="H98" s="1">
        <f>($AR44*H94)</f>
        <v>994000</v>
      </c>
      <c r="I98" s="1">
        <v>1065955</v>
      </c>
      <c r="J98" s="1">
        <v>219540</v>
      </c>
      <c r="K98" s="1">
        <f>($AR44*K94)</f>
        <v>355000</v>
      </c>
      <c r="L98" s="1">
        <v>381688.27</v>
      </c>
      <c r="M98" s="1">
        <v>442630.10000000003</v>
      </c>
      <c r="N98" s="1">
        <v>693304.7300000001</v>
      </c>
      <c r="O98" s="1">
        <v>887101.1</v>
      </c>
      <c r="P98" s="1">
        <f t="shared" ref="P98:V98" si="114">($AR44*O94)+20000</f>
        <v>872000</v>
      </c>
      <c r="Q98" s="1">
        <f t="shared" si="114"/>
        <v>1014000</v>
      </c>
      <c r="R98" s="1">
        <f t="shared" si="114"/>
        <v>801000</v>
      </c>
      <c r="S98" s="1">
        <f t="shared" si="114"/>
        <v>872000</v>
      </c>
      <c r="T98" s="1">
        <f t="shared" si="114"/>
        <v>1014000</v>
      </c>
      <c r="U98" s="1">
        <f t="shared" si="114"/>
        <v>943000</v>
      </c>
      <c r="V98" s="1">
        <f t="shared" si="114"/>
        <v>1227000</v>
      </c>
      <c r="W98" s="1">
        <f>($AR44*V94)+30000</f>
        <v>1237000</v>
      </c>
      <c r="X98" s="1">
        <f>($AR44*W94)+20000</f>
        <v>943000</v>
      </c>
      <c r="Y98" s="1">
        <f>($AR44*X94)+20000</f>
        <v>943000</v>
      </c>
      <c r="Z98" s="1">
        <f>($AR44*Y94)+20000</f>
        <v>1227000</v>
      </c>
      <c r="AA98" s="1">
        <f>($AR44*Z94)+20000</f>
        <v>943000</v>
      </c>
      <c r="AB98" s="1">
        <f>($AR44*AA94)+20000</f>
        <v>1085000</v>
      </c>
      <c r="AC98" s="1">
        <f>($AR44*AB94)+20000+(AC89*AC41)</f>
        <v>494417.63439999998</v>
      </c>
      <c r="AD98" s="1">
        <f>($AR44*AC94)+20000+(AD89*AD41)</f>
        <v>496584.60139999999</v>
      </c>
      <c r="AE98" s="1">
        <f>($AR44*AD94)+15000</f>
        <v>228000</v>
      </c>
      <c r="AF98" s="1">
        <f>($AR44*AE94)+15000</f>
        <v>86000</v>
      </c>
      <c r="AG98" s="1">
        <f>($AR44*AG94)+10000</f>
        <v>436000</v>
      </c>
      <c r="AH98" s="1">
        <f t="shared" ref="AH98:AM98" si="115">($AR44*AH94)+10000</f>
        <v>81000</v>
      </c>
      <c r="AI98" s="1">
        <f t="shared" si="115"/>
        <v>436000</v>
      </c>
      <c r="AJ98" s="1">
        <f t="shared" si="115"/>
        <v>152000</v>
      </c>
      <c r="AK98" s="1">
        <f t="shared" si="115"/>
        <v>223000</v>
      </c>
      <c r="AL98" s="1">
        <f t="shared" si="115"/>
        <v>223000</v>
      </c>
      <c r="AM98" s="1">
        <f t="shared" si="115"/>
        <v>223000</v>
      </c>
      <c r="AN98" s="1">
        <f>($AR44*AM94)+10000</f>
        <v>223000</v>
      </c>
      <c r="AO98" s="1">
        <f>($AR44*AN94)+10000</f>
        <v>81000</v>
      </c>
      <c r="AP98" s="19"/>
      <c r="AR98" s="46">
        <f>5*18</f>
        <v>90</v>
      </c>
      <c r="AS98">
        <v>12</v>
      </c>
      <c r="AT98" s="46">
        <f>381+AS98+AR98-3</f>
        <v>480</v>
      </c>
      <c r="AU98">
        <v>575</v>
      </c>
      <c r="AV98" s="46">
        <f>AU98-AT98</f>
        <v>95</v>
      </c>
    </row>
    <row r="99" spans="1:48" ht="15.75" hidden="1" customHeight="1" x14ac:dyDescent="0.25">
      <c r="A99" s="5" t="s">
        <v>83</v>
      </c>
      <c r="B99" s="19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>
        <v>99.72</v>
      </c>
      <c r="Q99" s="1">
        <f>P99</f>
        <v>99.72</v>
      </c>
      <c r="R99" s="1">
        <f>Q99</f>
        <v>99.72</v>
      </c>
      <c r="S99" s="1">
        <v>0</v>
      </c>
      <c r="T99" s="1">
        <f t="shared" ref="T99:AO99" si="116">S99</f>
        <v>0</v>
      </c>
      <c r="U99" s="1">
        <f t="shared" si="116"/>
        <v>0</v>
      </c>
      <c r="V99" s="1">
        <f t="shared" si="116"/>
        <v>0</v>
      </c>
      <c r="W99" s="1">
        <f t="shared" si="116"/>
        <v>0</v>
      </c>
      <c r="X99" s="1">
        <f t="shared" si="116"/>
        <v>0</v>
      </c>
      <c r="Y99" s="1">
        <f t="shared" si="116"/>
        <v>0</v>
      </c>
      <c r="Z99" s="1">
        <f t="shared" si="116"/>
        <v>0</v>
      </c>
      <c r="AA99" s="1">
        <f t="shared" si="116"/>
        <v>0</v>
      </c>
      <c r="AB99" s="1">
        <f t="shared" si="116"/>
        <v>0</v>
      </c>
      <c r="AC99" s="1">
        <f t="shared" si="116"/>
        <v>0</v>
      </c>
      <c r="AD99" s="1">
        <f t="shared" si="116"/>
        <v>0</v>
      </c>
      <c r="AE99" s="1">
        <f t="shared" si="116"/>
        <v>0</v>
      </c>
      <c r="AF99" s="1">
        <f t="shared" si="116"/>
        <v>0</v>
      </c>
      <c r="AG99" s="1">
        <f t="shared" si="116"/>
        <v>0</v>
      </c>
      <c r="AH99" s="1">
        <f t="shared" si="116"/>
        <v>0</v>
      </c>
      <c r="AI99" s="1">
        <f t="shared" si="116"/>
        <v>0</v>
      </c>
      <c r="AJ99" s="1">
        <f t="shared" si="116"/>
        <v>0</v>
      </c>
      <c r="AK99" s="1">
        <f t="shared" si="116"/>
        <v>0</v>
      </c>
      <c r="AL99" s="1">
        <f t="shared" si="116"/>
        <v>0</v>
      </c>
      <c r="AM99" s="1">
        <f t="shared" si="116"/>
        <v>0</v>
      </c>
      <c r="AN99" s="1">
        <f t="shared" si="116"/>
        <v>0</v>
      </c>
      <c r="AO99" s="1">
        <f t="shared" si="116"/>
        <v>0</v>
      </c>
      <c r="AP99" s="19"/>
      <c r="AR99" s="50"/>
      <c r="AT99" s="50"/>
      <c r="AV99" s="50"/>
    </row>
    <row r="100" spans="1:48" ht="15.75" hidden="1" customHeight="1" x14ac:dyDescent="0.25">
      <c r="A100" s="5" t="s">
        <v>86</v>
      </c>
      <c r="B100" s="19"/>
      <c r="C100" s="1"/>
      <c r="D100" s="1"/>
      <c r="E100" s="1"/>
      <c r="F100" s="1">
        <f>23000+1500</f>
        <v>24500</v>
      </c>
      <c r="G100" s="1">
        <f>1500</f>
        <v>1500</v>
      </c>
      <c r="H100" s="1">
        <f>1500</f>
        <v>1500</v>
      </c>
      <c r="I100" s="1">
        <f>H100</f>
        <v>1500</v>
      </c>
      <c r="J100" s="1">
        <f>1500+2500+2000</f>
        <v>6000</v>
      </c>
      <c r="K100" s="1">
        <v>3000</v>
      </c>
      <c r="L100" s="1">
        <f>3000+(12000/3)</f>
        <v>7000</v>
      </c>
      <c r="M100" s="1">
        <f>4333+1000+616+1500</f>
        <v>7449</v>
      </c>
      <c r="N100" s="1">
        <f>4333+1999</f>
        <v>6332</v>
      </c>
      <c r="O100" s="1">
        <v>0</v>
      </c>
      <c r="P100" s="1">
        <v>0</v>
      </c>
      <c r="Q100" s="1">
        <v>0</v>
      </c>
      <c r="R100" s="1">
        <v>0</v>
      </c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9"/>
      <c r="AQ100" s="44"/>
      <c r="AR100" s="53"/>
      <c r="AV100" s="58">
        <f>AV98/6</f>
        <v>15.833333333333334</v>
      </c>
    </row>
    <row r="101" spans="1:48" ht="15.75" customHeight="1" x14ac:dyDescent="0.25">
      <c r="A101" s="5" t="s">
        <v>159</v>
      </c>
      <c r="B101" s="19"/>
      <c r="C101" s="1"/>
      <c r="D101" s="1"/>
      <c r="E101" s="1"/>
      <c r="F101" s="1"/>
      <c r="G101" s="1"/>
      <c r="H101" s="1"/>
      <c r="I101" s="1"/>
      <c r="J101" s="1">
        <v>0</v>
      </c>
      <c r="K101" s="1">
        <f>10780+55863</f>
        <v>66643</v>
      </c>
      <c r="L101" s="1">
        <f>10780</f>
        <v>10780</v>
      </c>
      <c r="M101" s="1">
        <f t="shared" ref="M101:U101" si="117">L101</f>
        <v>10780</v>
      </c>
      <c r="N101" s="1">
        <f t="shared" si="117"/>
        <v>10780</v>
      </c>
      <c r="O101" s="1"/>
      <c r="P101" s="63"/>
      <c r="Q101" s="1">
        <v>0</v>
      </c>
      <c r="R101" s="1">
        <v>30847.57</v>
      </c>
      <c r="S101" s="1">
        <v>10780.63</v>
      </c>
      <c r="T101" s="1">
        <f t="shared" si="117"/>
        <v>10780.63</v>
      </c>
      <c r="U101" s="1">
        <f t="shared" si="117"/>
        <v>10780.63</v>
      </c>
      <c r="V101" s="1">
        <f t="shared" ref="V101:AO101" si="118">U101</f>
        <v>10780.63</v>
      </c>
      <c r="W101" s="1">
        <f t="shared" si="118"/>
        <v>10780.63</v>
      </c>
      <c r="X101" s="1">
        <f t="shared" si="118"/>
        <v>10780.63</v>
      </c>
      <c r="Y101" s="1">
        <f t="shared" si="118"/>
        <v>10780.63</v>
      </c>
      <c r="Z101" s="1">
        <f t="shared" si="118"/>
        <v>10780.63</v>
      </c>
      <c r="AA101" s="1">
        <f t="shared" si="118"/>
        <v>10780.63</v>
      </c>
      <c r="AB101" s="1">
        <f t="shared" si="118"/>
        <v>10780.63</v>
      </c>
      <c r="AC101" s="1">
        <v>10780.41</v>
      </c>
      <c r="AD101" s="1">
        <f t="shared" si="118"/>
        <v>10780.41</v>
      </c>
      <c r="AE101" s="1">
        <f t="shared" si="118"/>
        <v>10780.41</v>
      </c>
      <c r="AF101" s="1">
        <f t="shared" si="118"/>
        <v>10780.41</v>
      </c>
      <c r="AG101" s="1">
        <f t="shared" si="118"/>
        <v>10780.41</v>
      </c>
      <c r="AH101" s="1">
        <f t="shared" si="118"/>
        <v>10780.41</v>
      </c>
      <c r="AI101" s="1">
        <f t="shared" si="118"/>
        <v>10780.41</v>
      </c>
      <c r="AJ101" s="1">
        <f t="shared" si="118"/>
        <v>10780.41</v>
      </c>
      <c r="AK101" s="1">
        <f t="shared" si="118"/>
        <v>10780.41</v>
      </c>
      <c r="AL101" s="1">
        <f t="shared" si="118"/>
        <v>10780.41</v>
      </c>
      <c r="AM101" s="1">
        <f t="shared" si="118"/>
        <v>10780.41</v>
      </c>
      <c r="AN101" s="1">
        <f t="shared" si="118"/>
        <v>10780.41</v>
      </c>
      <c r="AO101" s="1">
        <f t="shared" si="118"/>
        <v>10780.41</v>
      </c>
      <c r="AP101" s="19"/>
      <c r="AR101" s="52"/>
    </row>
    <row r="102" spans="1:48" ht="15.75" hidden="1" customHeight="1" x14ac:dyDescent="0.25">
      <c r="A102" s="5" t="s">
        <v>129</v>
      </c>
      <c r="B102" s="19"/>
      <c r="C102" s="1"/>
      <c r="D102" s="1"/>
      <c r="E102" s="1"/>
      <c r="F102" s="1"/>
      <c r="G102" s="1"/>
      <c r="H102" s="1">
        <f>36925+467458.47</f>
        <v>504383.47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>
        <f>U90</f>
        <v>84453</v>
      </c>
      <c r="V102" s="1">
        <f>V90+18000</f>
        <v>71040.205000000002</v>
      </c>
      <c r="W102" s="1">
        <f t="shared" ref="W102:AB102" si="119">W90</f>
        <v>43213.189499999993</v>
      </c>
      <c r="X102" s="1">
        <f t="shared" si="119"/>
        <v>0</v>
      </c>
      <c r="Y102" s="1">
        <f t="shared" si="119"/>
        <v>0</v>
      </c>
      <c r="Z102" s="1">
        <f t="shared" si="119"/>
        <v>0</v>
      </c>
      <c r="AA102" s="1">
        <f t="shared" si="119"/>
        <v>0</v>
      </c>
      <c r="AB102" s="1">
        <f t="shared" si="119"/>
        <v>0</v>
      </c>
      <c r="AC102" s="1">
        <f t="shared" ref="AC102:AH102" si="120">AC90</f>
        <v>0</v>
      </c>
      <c r="AD102" s="1">
        <f t="shared" si="120"/>
        <v>0</v>
      </c>
      <c r="AE102" s="1">
        <f t="shared" si="120"/>
        <v>0</v>
      </c>
      <c r="AF102" s="1">
        <f t="shared" si="120"/>
        <v>0</v>
      </c>
      <c r="AG102" s="1">
        <f t="shared" si="120"/>
        <v>0</v>
      </c>
      <c r="AH102" s="1">
        <f t="shared" si="120"/>
        <v>0</v>
      </c>
      <c r="AI102" s="1">
        <f t="shared" ref="AI102:AJ102" si="121">AI90</f>
        <v>0</v>
      </c>
      <c r="AJ102" s="1">
        <f t="shared" si="121"/>
        <v>0</v>
      </c>
      <c r="AK102" s="1">
        <f t="shared" ref="AK102:AL102" si="122">AK90</f>
        <v>0</v>
      </c>
      <c r="AL102" s="1">
        <f t="shared" si="122"/>
        <v>0</v>
      </c>
      <c r="AM102" s="1">
        <f t="shared" ref="AM102:AN102" si="123">AM90</f>
        <v>0</v>
      </c>
      <c r="AN102" s="1">
        <f t="shared" si="123"/>
        <v>0</v>
      </c>
      <c r="AO102" s="1">
        <f t="shared" ref="AO102" si="124">AO90</f>
        <v>0</v>
      </c>
      <c r="AP102" s="19"/>
      <c r="AQ102" s="62">
        <f>22500</f>
        <v>22500</v>
      </c>
      <c r="AR102" s="52"/>
    </row>
    <row r="103" spans="1:48" ht="15.75" customHeight="1" x14ac:dyDescent="0.25">
      <c r="A103" s="5" t="s">
        <v>170</v>
      </c>
      <c r="B103" s="19"/>
      <c r="C103" s="1"/>
      <c r="D103" s="1"/>
      <c r="E103" s="1"/>
      <c r="F103" s="1"/>
      <c r="G103" s="1"/>
      <c r="H103" s="1"/>
      <c r="I103" s="1"/>
      <c r="J103" s="1"/>
      <c r="L103" s="1"/>
      <c r="M103" s="1"/>
      <c r="N103" s="1"/>
      <c r="O103" s="1"/>
      <c r="P103" s="1"/>
      <c r="Q103" s="1">
        <v>13169</v>
      </c>
      <c r="R103" s="1">
        <v>6231</v>
      </c>
      <c r="S103" s="1">
        <f>R103*1.2</f>
        <v>7477.2</v>
      </c>
      <c r="T103" s="1">
        <v>11961</v>
      </c>
      <c r="U103" s="1">
        <v>12351</v>
      </c>
      <c r="V103" s="1">
        <v>21382.16</v>
      </c>
      <c r="W103" s="1">
        <v>6216</v>
      </c>
      <c r="X103" s="1">
        <f>W103*1.02</f>
        <v>6340.32</v>
      </c>
      <c r="Y103" s="1">
        <v>2500</v>
      </c>
      <c r="Z103" s="1">
        <v>3200</v>
      </c>
      <c r="AA103" s="1">
        <v>3147</v>
      </c>
      <c r="AB103" s="1">
        <v>1500</v>
      </c>
      <c r="AC103" s="1">
        <v>2273</v>
      </c>
      <c r="AD103" s="1">
        <v>2273</v>
      </c>
      <c r="AE103" s="1">
        <v>1773</v>
      </c>
      <c r="AF103" s="1">
        <v>899</v>
      </c>
      <c r="AG103" s="1">
        <v>899</v>
      </c>
      <c r="AH103" s="1">
        <v>899</v>
      </c>
      <c r="AI103" s="1">
        <v>899</v>
      </c>
      <c r="AJ103" s="1">
        <v>899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Q103" s="19">
        <f>1292500-SUM(C103:Z103)</f>
        <v>1201672.32</v>
      </c>
      <c r="AR103" s="52"/>
    </row>
    <row r="104" spans="1:48" ht="15.75" customHeight="1" x14ac:dyDescent="0.25">
      <c r="A104" s="5" t="s">
        <v>167</v>
      </c>
      <c r="B104" s="19"/>
      <c r="C104" s="1"/>
      <c r="D104" s="1"/>
      <c r="E104" s="1"/>
      <c r="F104" s="1"/>
      <c r="H104" s="1"/>
      <c r="I104" s="1"/>
      <c r="J104" s="1">
        <v>11692.58</v>
      </c>
      <c r="K104" s="1">
        <v>992.5</v>
      </c>
      <c r="L104" s="1">
        <v>5213.7</v>
      </c>
      <c r="M104" s="1">
        <v>75608.42</v>
      </c>
      <c r="N104" s="1">
        <v>249167.52</v>
      </c>
      <c r="O104" s="1">
        <v>290774.06</v>
      </c>
      <c r="P104" s="1">
        <v>71553.73</v>
      </c>
      <c r="Q104" s="1">
        <v>92031.28</v>
      </c>
      <c r="R104" s="1">
        <v>145767</v>
      </c>
      <c r="S104" s="1">
        <f>R104/3</f>
        <v>48589</v>
      </c>
      <c r="T104" s="1">
        <v>74941</v>
      </c>
      <c r="U104" s="1">
        <v>96224.43</v>
      </c>
      <c r="V104" s="1">
        <v>40910.65</v>
      </c>
      <c r="W104" s="1">
        <v>156784</v>
      </c>
      <c r="X104" s="35">
        <f>0.75*W104</f>
        <v>117588</v>
      </c>
      <c r="Y104" s="39">
        <v>85050</v>
      </c>
      <c r="Z104" s="39">
        <v>65000</v>
      </c>
      <c r="AA104" s="39">
        <v>8641</v>
      </c>
      <c r="AB104" s="39">
        <f>60000</f>
        <v>60000</v>
      </c>
      <c r="AC104" s="39">
        <v>25000</v>
      </c>
      <c r="AD104" s="39">
        <v>16864</v>
      </c>
      <c r="AE104" s="39">
        <v>2424</v>
      </c>
      <c r="AF104" s="39">
        <f>75000+43000</f>
        <v>118000</v>
      </c>
      <c r="AG104" s="72">
        <v>10000</v>
      </c>
      <c r="AH104" s="72">
        <v>10000</v>
      </c>
      <c r="AI104" s="72">
        <v>662</v>
      </c>
      <c r="AJ104" s="72">
        <v>75000</v>
      </c>
      <c r="AK104" s="72">
        <v>35000</v>
      </c>
      <c r="AL104" s="72">
        <v>28000</v>
      </c>
      <c r="AM104" s="72">
        <v>0</v>
      </c>
      <c r="AN104" s="72">
        <v>0</v>
      </c>
      <c r="AO104" s="72">
        <v>0</v>
      </c>
      <c r="AP104" s="19"/>
      <c r="AQ104" s="62">
        <f>2500000-SUM(C104:AN104)</f>
        <v>482521.13000000012</v>
      </c>
      <c r="AR104" s="74" t="s">
        <v>189</v>
      </c>
      <c r="AT104" s="75">
        <v>348679</v>
      </c>
    </row>
    <row r="105" spans="1:48" ht="15.75" hidden="1" customHeight="1" x14ac:dyDescent="0.25">
      <c r="A105" s="5" t="s">
        <v>160</v>
      </c>
      <c r="B105" s="19"/>
      <c r="C105" s="1"/>
      <c r="D105" s="1"/>
      <c r="E105" s="1"/>
      <c r="F105" s="1"/>
      <c r="H105">
        <f>1330</f>
        <v>1330</v>
      </c>
      <c r="I105" s="1">
        <f>33840</f>
        <v>33840</v>
      </c>
      <c r="J105" s="1"/>
      <c r="K105" s="1">
        <v>39335.57</v>
      </c>
      <c r="L105" s="1">
        <f>19389.35</f>
        <v>19389.349999999999</v>
      </c>
      <c r="M105" s="1"/>
      <c r="N105" s="1"/>
      <c r="O105" s="1"/>
      <c r="P105" s="1"/>
      <c r="S105" s="1"/>
      <c r="T105" s="1"/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9"/>
      <c r="AQ105" s="62">
        <f>171000-SUM(C105:Z105)</f>
        <v>77105.079999999987</v>
      </c>
      <c r="AR105" s="52"/>
    </row>
    <row r="106" spans="1:48" ht="15.75" hidden="1" customHeight="1" x14ac:dyDescent="0.25">
      <c r="A106" s="5" t="s">
        <v>173</v>
      </c>
      <c r="B106" s="19"/>
      <c r="C106" s="1"/>
      <c r="D106" s="1"/>
      <c r="E106" s="1"/>
      <c r="F106" s="1"/>
      <c r="J106" s="1"/>
      <c r="K106" s="1">
        <v>735</v>
      </c>
      <c r="L106" s="1"/>
      <c r="M106" s="1"/>
      <c r="N106" s="1"/>
      <c r="O106" s="1">
        <v>0</v>
      </c>
      <c r="P106" s="1"/>
      <c r="Q106" s="1"/>
      <c r="R106" s="1">
        <v>10458</v>
      </c>
      <c r="S106" s="1">
        <f>5118.75</f>
        <v>5118.75</v>
      </c>
      <c r="T106" s="1">
        <v>0</v>
      </c>
      <c r="U106" s="1">
        <v>67920</v>
      </c>
      <c r="V106" s="1">
        <v>23903.25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51070</v>
      </c>
      <c r="AC106" s="1">
        <v>3423</v>
      </c>
      <c r="AD106" s="1">
        <v>8579</v>
      </c>
      <c r="AE106" s="1">
        <v>56716.41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9"/>
      <c r="AQ106" s="62">
        <f>239650-SUM(C106:AH106)</f>
        <v>11726.589999999997</v>
      </c>
      <c r="AR106" s="52"/>
    </row>
    <row r="107" spans="1:48" ht="15.75" customHeight="1" x14ac:dyDescent="0.25">
      <c r="A107" s="5" t="s">
        <v>176</v>
      </c>
      <c r="B107" s="19"/>
      <c r="C107" s="1"/>
      <c r="D107" s="1"/>
      <c r="E107" s="1"/>
      <c r="F107" s="1"/>
      <c r="J107" s="1"/>
      <c r="K107" s="1"/>
      <c r="L107" s="1"/>
      <c r="M107" s="1"/>
      <c r="N107" s="1"/>
      <c r="O107" s="1"/>
      <c r="P107" s="1"/>
      <c r="Q107" s="1"/>
      <c r="R107" s="1"/>
      <c r="S107" s="1">
        <f>580567-501635</f>
        <v>78932</v>
      </c>
      <c r="T107" s="1"/>
      <c r="U107" s="1">
        <v>77703.92</v>
      </c>
      <c r="V107" s="1">
        <v>1033.46</v>
      </c>
      <c r="W107" s="1">
        <v>150</v>
      </c>
      <c r="X107" s="1">
        <v>150</v>
      </c>
      <c r="Y107" s="1">
        <v>2500</v>
      </c>
      <c r="Z107" s="1">
        <v>500</v>
      </c>
      <c r="AA107" s="1">
        <f>11043</f>
        <v>11043</v>
      </c>
      <c r="AB107" s="1">
        <f>0.8*AA107</f>
        <v>8834.4</v>
      </c>
      <c r="AC107" s="1">
        <v>6900</v>
      </c>
      <c r="AD107" s="1">
        <v>11868.03</v>
      </c>
      <c r="AE107" s="1">
        <v>10000</v>
      </c>
      <c r="AF107" s="1">
        <f t="shared" ref="AA107:AO108" si="125">AE107</f>
        <v>10000</v>
      </c>
      <c r="AG107" s="1">
        <f t="shared" si="125"/>
        <v>10000</v>
      </c>
      <c r="AH107" s="1">
        <f t="shared" si="125"/>
        <v>10000</v>
      </c>
      <c r="AI107" s="1">
        <v>14000</v>
      </c>
      <c r="AJ107" s="1">
        <v>10000</v>
      </c>
      <c r="AK107" s="1">
        <f t="shared" si="125"/>
        <v>10000</v>
      </c>
      <c r="AL107" s="1">
        <f t="shared" si="125"/>
        <v>10000</v>
      </c>
      <c r="AM107" s="1">
        <f t="shared" si="125"/>
        <v>10000</v>
      </c>
      <c r="AN107" s="1">
        <f t="shared" si="125"/>
        <v>10000</v>
      </c>
      <c r="AO107" s="1">
        <f t="shared" si="125"/>
        <v>10000</v>
      </c>
      <c r="AP107" s="19"/>
      <c r="AQ107" s="62"/>
      <c r="AR107" s="52"/>
    </row>
    <row r="108" spans="1:48" ht="15.75" customHeight="1" x14ac:dyDescent="0.25">
      <c r="A108" s="71" t="s">
        <v>204</v>
      </c>
      <c r="B108" s="19"/>
      <c r="C108" s="1"/>
      <c r="D108" s="1"/>
      <c r="E108" s="1"/>
      <c r="F108" s="1"/>
      <c r="J108" s="1"/>
      <c r="K108" s="1"/>
      <c r="L108" s="1"/>
      <c r="M108" s="1">
        <f t="shared" ref="M108:U108" si="126">L108</f>
        <v>0</v>
      </c>
      <c r="N108" s="1">
        <f t="shared" si="126"/>
        <v>0</v>
      </c>
      <c r="O108" s="1">
        <f t="shared" si="126"/>
        <v>0</v>
      </c>
      <c r="P108" s="1">
        <f t="shared" si="126"/>
        <v>0</v>
      </c>
      <c r="Q108" s="1">
        <f t="shared" si="126"/>
        <v>0</v>
      </c>
      <c r="R108" s="1">
        <f t="shared" si="126"/>
        <v>0</v>
      </c>
      <c r="S108" s="1">
        <f t="shared" si="126"/>
        <v>0</v>
      </c>
      <c r="T108" s="1">
        <f t="shared" si="126"/>
        <v>0</v>
      </c>
      <c r="U108" s="1">
        <f t="shared" si="126"/>
        <v>0</v>
      </c>
      <c r="V108" s="1">
        <f>U108</f>
        <v>0</v>
      </c>
      <c r="W108" s="1">
        <f>V108</f>
        <v>0</v>
      </c>
      <c r="X108" s="1">
        <f>W108</f>
        <v>0</v>
      </c>
      <c r="Y108" s="1">
        <f>X108</f>
        <v>0</v>
      </c>
      <c r="Z108" s="1">
        <f>Y108</f>
        <v>0</v>
      </c>
      <c r="AA108" s="1">
        <f t="shared" si="125"/>
        <v>0</v>
      </c>
      <c r="AB108" s="1">
        <f t="shared" si="125"/>
        <v>0</v>
      </c>
      <c r="AC108" s="1">
        <f t="shared" si="125"/>
        <v>0</v>
      </c>
      <c r="AD108" s="1">
        <f t="shared" si="125"/>
        <v>0</v>
      </c>
      <c r="AE108" s="1">
        <f>122000-122000+3700</f>
        <v>3700</v>
      </c>
      <c r="AF108" s="1">
        <f>(AF97*$AQ97)+(AF97*$AS97)</f>
        <v>128500</v>
      </c>
      <c r="AG108" s="1">
        <f t="shared" ref="AG108:AL108" si="127">(AG97*$AQ97)+(AG97*$AS97)</f>
        <v>128500</v>
      </c>
      <c r="AH108" s="1">
        <v>0</v>
      </c>
      <c r="AI108" s="1">
        <v>0</v>
      </c>
      <c r="AJ108" s="1">
        <f t="shared" si="127"/>
        <v>128500</v>
      </c>
      <c r="AK108" s="1">
        <f t="shared" si="127"/>
        <v>385500</v>
      </c>
      <c r="AL108" s="1">
        <f t="shared" si="127"/>
        <v>385500</v>
      </c>
      <c r="AM108" s="1">
        <f t="shared" ref="AM108:AN108" si="128">(AM97*$AQ97)+(AM97*$AS97)</f>
        <v>385500</v>
      </c>
      <c r="AN108" s="1">
        <f t="shared" si="128"/>
        <v>385500</v>
      </c>
      <c r="AO108" s="1">
        <f t="shared" ref="AO108" si="129">(AO97*$AQ97)+(AO97*$AS97)</f>
        <v>385500</v>
      </c>
      <c r="AP108" s="19"/>
      <c r="AR108" s="52"/>
    </row>
    <row r="109" spans="1:48" ht="15.75" customHeight="1" x14ac:dyDescent="0.25">
      <c r="A109" s="5" t="s">
        <v>169</v>
      </c>
      <c r="B109" s="19"/>
      <c r="C109" s="1"/>
      <c r="D109" s="1"/>
      <c r="E109" s="1"/>
      <c r="F109" s="1"/>
      <c r="G109" s="1"/>
      <c r="H109" s="1">
        <v>331788</v>
      </c>
      <c r="I109" s="1"/>
      <c r="J109" s="1"/>
      <c r="L109" s="1"/>
      <c r="M109" s="1"/>
      <c r="N109" s="1"/>
      <c r="O109" s="1"/>
      <c r="P109" s="1"/>
      <c r="Q109" s="1"/>
      <c r="R109" s="1">
        <v>114676.3</v>
      </c>
      <c r="S109" s="1">
        <v>128704.82</v>
      </c>
      <c r="T109" s="1">
        <v>21163.279999999999</v>
      </c>
      <c r="U109" s="1">
        <v>0</v>
      </c>
      <c r="V109" s="1">
        <v>0</v>
      </c>
      <c r="W109" s="1">
        <v>0</v>
      </c>
      <c r="X109" s="1">
        <v>43772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80">
        <v>87000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Q109" s="19">
        <f>1004000-SUM(C109:Z109)</f>
        <v>363895.6</v>
      </c>
      <c r="AR109" s="52"/>
    </row>
    <row r="110" spans="1:48" ht="15.75" customHeight="1" x14ac:dyDescent="0.25">
      <c r="A110" s="71" t="s">
        <v>205</v>
      </c>
      <c r="B110" s="19"/>
      <c r="C110" s="1"/>
      <c r="D110" s="1"/>
      <c r="E110" s="1"/>
      <c r="F110" s="1"/>
      <c r="G110" s="1"/>
      <c r="H110" s="1"/>
      <c r="I110" s="1"/>
      <c r="J110" s="1"/>
      <c r="L110" s="1"/>
      <c r="M110" s="1"/>
      <c r="N110" s="1"/>
      <c r="O110" s="1"/>
      <c r="P110" s="1"/>
      <c r="Q110" s="1"/>
      <c r="R110" s="1"/>
      <c r="S110" s="1"/>
      <c r="T110" s="1"/>
      <c r="U110" s="1">
        <v>1700</v>
      </c>
      <c r="V110" s="1">
        <v>850</v>
      </c>
      <c r="W110" s="1">
        <f>850+(15000*W95)</f>
        <v>850</v>
      </c>
      <c r="X110" s="1">
        <v>7713</v>
      </c>
      <c r="Y110" s="1">
        <f t="shared" ref="Y110:AD110" si="130">850+100+(15000*Y95)</f>
        <v>15950</v>
      </c>
      <c r="Z110" s="1">
        <f>850+100+(13000*Z95)</f>
        <v>13950</v>
      </c>
      <c r="AA110" s="1">
        <f t="shared" si="130"/>
        <v>950</v>
      </c>
      <c r="AB110" s="1">
        <f t="shared" si="130"/>
        <v>15950</v>
      </c>
      <c r="AC110" s="1">
        <f>850+100+(15000*AC95)</f>
        <v>15950</v>
      </c>
      <c r="AD110" s="1">
        <f t="shared" si="130"/>
        <v>950</v>
      </c>
      <c r="AE110" s="1">
        <f>850+100+300</f>
        <v>1250</v>
      </c>
      <c r="AF110" s="1">
        <f>850+100+(20000*AF95)</f>
        <v>20950</v>
      </c>
      <c r="AG110" s="1">
        <f t="shared" ref="AG110:AL110" si="131">850+100+(15000*AG95)</f>
        <v>15950</v>
      </c>
      <c r="AH110" s="1">
        <f t="shared" si="131"/>
        <v>15950</v>
      </c>
      <c r="AI110" s="1">
        <f t="shared" si="131"/>
        <v>15950</v>
      </c>
      <c r="AJ110" s="80">
        <f>1000+100+25000+15000</f>
        <v>41100</v>
      </c>
      <c r="AK110" s="1">
        <f t="shared" si="131"/>
        <v>15950</v>
      </c>
      <c r="AL110" s="1">
        <f t="shared" si="131"/>
        <v>15950</v>
      </c>
      <c r="AM110" s="1">
        <f t="shared" ref="AM110:AN110" si="132">850+100+(15000*AM95)</f>
        <v>15950</v>
      </c>
      <c r="AN110" s="1">
        <f t="shared" si="132"/>
        <v>15950</v>
      </c>
      <c r="AO110" s="1">
        <f t="shared" ref="AO110" si="133">850+100+(15000*AO95)</f>
        <v>15950</v>
      </c>
      <c r="AQ110" s="19"/>
      <c r="AR110" s="52"/>
    </row>
    <row r="111" spans="1:48" ht="15.75" customHeight="1" x14ac:dyDescent="0.25">
      <c r="A111" s="61" t="s">
        <v>200</v>
      </c>
      <c r="B111" s="19"/>
      <c r="C111" s="1"/>
      <c r="D111" s="1"/>
      <c r="E111" s="1"/>
      <c r="F111" s="1"/>
      <c r="G111" s="1"/>
      <c r="H111" s="1"/>
      <c r="I111" s="1"/>
      <c r="J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>
        <f>187904</f>
        <v>187904</v>
      </c>
      <c r="AF111" s="1">
        <v>0</v>
      </c>
      <c r="AG111" s="1">
        <v>0</v>
      </c>
      <c r="AH111" s="1">
        <v>30000</v>
      </c>
      <c r="AI111" s="1">
        <v>185000</v>
      </c>
      <c r="AJ111" s="1">
        <v>79000</v>
      </c>
      <c r="AK111" s="80">
        <v>0</v>
      </c>
      <c r="AL111" s="80">
        <v>0</v>
      </c>
      <c r="AM111" s="80">
        <v>0</v>
      </c>
      <c r="AN111" s="80">
        <v>0</v>
      </c>
      <c r="AO111" s="80">
        <v>0</v>
      </c>
      <c r="AQ111" s="19">
        <f>171000-SUM(C111:Z111)</f>
        <v>171000</v>
      </c>
      <c r="AR111" s="52"/>
    </row>
    <row r="112" spans="1:48" ht="15.75" hidden="1" customHeight="1" x14ac:dyDescent="0.25">
      <c r="A112" s="5" t="s">
        <v>129</v>
      </c>
      <c r="B112" s="19"/>
      <c r="C112" s="1"/>
      <c r="D112" s="1"/>
      <c r="E112" s="1"/>
      <c r="F112" s="1"/>
      <c r="G112" s="1"/>
      <c r="H112" s="1">
        <v>0</v>
      </c>
      <c r="I112" s="1">
        <v>0</v>
      </c>
      <c r="J112" s="1">
        <f>I112*3</f>
        <v>0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9"/>
    </row>
    <row r="113" spans="1:44" ht="15.75" hidden="1" customHeight="1" x14ac:dyDescent="0.25">
      <c r="A113" s="5" t="str">
        <f>A53</f>
        <v>JCCA-Scholarships</v>
      </c>
      <c r="B113" s="19"/>
      <c r="C113" s="1"/>
      <c r="D113" s="1"/>
      <c r="E113" s="1"/>
      <c r="F113" s="1"/>
      <c r="G113" s="1"/>
      <c r="H113" s="1">
        <f>I53</f>
        <v>0</v>
      </c>
      <c r="I113" s="1">
        <f>J53</f>
        <v>0</v>
      </c>
      <c r="J113" s="1">
        <f>I113*3</f>
        <v>0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9"/>
    </row>
    <row r="114" spans="1:44" ht="15.75" hidden="1" customHeight="1" x14ac:dyDescent="0.25">
      <c r="A114" s="5" t="s">
        <v>138</v>
      </c>
      <c r="B114" s="19"/>
      <c r="C114" s="1"/>
      <c r="D114" s="1"/>
      <c r="E114" s="1"/>
      <c r="F114" s="1"/>
      <c r="G114" s="1"/>
      <c r="H114" s="1">
        <v>0</v>
      </c>
      <c r="I114" s="1">
        <v>0</v>
      </c>
      <c r="J114" s="1">
        <f>I114*3</f>
        <v>0</v>
      </c>
      <c r="K114" s="1">
        <f t="shared" ref="K114:AG114" si="134">$AQ114*K89</f>
        <v>0</v>
      </c>
      <c r="L114" s="1">
        <f t="shared" si="134"/>
        <v>0</v>
      </c>
      <c r="M114" s="1">
        <f t="shared" si="134"/>
        <v>0</v>
      </c>
      <c r="N114" s="1">
        <f t="shared" si="134"/>
        <v>0</v>
      </c>
      <c r="O114" s="1">
        <f t="shared" si="134"/>
        <v>0</v>
      </c>
      <c r="P114" s="1">
        <f t="shared" si="134"/>
        <v>0</v>
      </c>
      <c r="Q114" s="1">
        <f t="shared" si="134"/>
        <v>0</v>
      </c>
      <c r="R114" s="1">
        <f t="shared" si="134"/>
        <v>0</v>
      </c>
      <c r="S114" s="1">
        <f t="shared" si="134"/>
        <v>0</v>
      </c>
      <c r="T114" s="1">
        <f t="shared" si="134"/>
        <v>0</v>
      </c>
      <c r="U114" s="1">
        <f t="shared" si="134"/>
        <v>0</v>
      </c>
      <c r="V114" s="1">
        <f t="shared" si="134"/>
        <v>0</v>
      </c>
      <c r="W114" s="1">
        <f t="shared" si="134"/>
        <v>0</v>
      </c>
      <c r="X114" s="1">
        <f t="shared" si="134"/>
        <v>0</v>
      </c>
      <c r="Y114" s="1">
        <f t="shared" si="134"/>
        <v>0</v>
      </c>
      <c r="Z114" s="1">
        <f t="shared" si="134"/>
        <v>0</v>
      </c>
      <c r="AA114" s="1">
        <f t="shared" si="134"/>
        <v>0</v>
      </c>
      <c r="AB114" s="1">
        <f t="shared" si="134"/>
        <v>0</v>
      </c>
      <c r="AC114" s="1">
        <f t="shared" si="134"/>
        <v>0</v>
      </c>
      <c r="AD114" s="1">
        <f t="shared" si="134"/>
        <v>0</v>
      </c>
      <c r="AE114" s="1">
        <f t="shared" si="134"/>
        <v>0</v>
      </c>
      <c r="AF114" s="1">
        <f t="shared" si="134"/>
        <v>0</v>
      </c>
      <c r="AG114" s="1">
        <f t="shared" si="134"/>
        <v>0</v>
      </c>
      <c r="AH114" s="1">
        <f t="shared" ref="AH114:AI114" si="135">$AQ114*AH89</f>
        <v>0</v>
      </c>
      <c r="AI114" s="1">
        <f t="shared" si="135"/>
        <v>0</v>
      </c>
      <c r="AJ114" s="1">
        <f t="shared" ref="AJ114:AK114" si="136">$AQ114*AJ89</f>
        <v>0</v>
      </c>
      <c r="AK114" s="1">
        <f t="shared" si="136"/>
        <v>0</v>
      </c>
      <c r="AL114" s="1">
        <f t="shared" ref="AL114:AM114" si="137">$AQ114*AL89</f>
        <v>0</v>
      </c>
      <c r="AM114" s="1">
        <f t="shared" si="137"/>
        <v>0</v>
      </c>
      <c r="AN114" s="1">
        <f t="shared" ref="AN114:AO114" si="138">$AQ114*AN89</f>
        <v>0</v>
      </c>
      <c r="AO114" s="1">
        <f t="shared" si="138"/>
        <v>0</v>
      </c>
      <c r="AP114" s="19"/>
      <c r="AQ114" s="45"/>
    </row>
    <row r="115" spans="1:44" ht="15.75" hidden="1" customHeight="1" x14ac:dyDescent="0.25">
      <c r="A115" s="5" t="s">
        <v>142</v>
      </c>
      <c r="B115" s="19"/>
      <c r="C115" s="1"/>
      <c r="D115" s="1"/>
      <c r="E115" s="1"/>
      <c r="F115" s="1"/>
      <c r="G115" s="1"/>
      <c r="H115" s="35"/>
      <c r="I115" s="35"/>
      <c r="J115" s="1">
        <f>I115*3</f>
        <v>0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9"/>
    </row>
    <row r="116" spans="1:44" ht="15.75" hidden="1" customHeight="1" x14ac:dyDescent="0.25">
      <c r="A116" s="5" t="s">
        <v>137</v>
      </c>
      <c r="B116" s="19"/>
      <c r="C116" s="1"/>
      <c r="D116" s="1"/>
      <c r="E116" s="1"/>
      <c r="F116" s="1"/>
      <c r="G116" s="1"/>
      <c r="H116" s="1">
        <v>0</v>
      </c>
      <c r="I116" s="1">
        <v>0</v>
      </c>
      <c r="J116" s="1">
        <f>I116*3</f>
        <v>0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9"/>
      <c r="AQ116" s="3" t="s">
        <v>1</v>
      </c>
    </row>
    <row r="117" spans="1:44" ht="15.75" hidden="1" customHeight="1" x14ac:dyDescent="0.25">
      <c r="A117" s="5" t="s">
        <v>153</v>
      </c>
      <c r="B117" s="19"/>
      <c r="C117" s="1"/>
      <c r="D117" s="1"/>
      <c r="E117" s="1"/>
      <c r="F117" s="1"/>
      <c r="G117" s="1"/>
      <c r="H117" s="1">
        <v>150000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9"/>
    </row>
    <row r="118" spans="1:44" ht="15.75" hidden="1" customHeight="1" x14ac:dyDescent="0.25">
      <c r="A118" s="5"/>
      <c r="B118" s="19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9"/>
    </row>
    <row r="119" spans="1:44" ht="15.75" customHeight="1" x14ac:dyDescent="0.25">
      <c r="A119" s="5" t="s">
        <v>139</v>
      </c>
      <c r="B119" s="19"/>
      <c r="C119" s="4">
        <f>C68+C88</f>
        <v>0</v>
      </c>
      <c r="D119" s="4">
        <f>D68+D88</f>
        <v>0</v>
      </c>
      <c r="E119" s="4">
        <f>E68+E88</f>
        <v>0</v>
      </c>
      <c r="F119" s="37">
        <f>SUM(F94:F118)</f>
        <v>24500</v>
      </c>
      <c r="G119" s="37">
        <f>SUM(G98:G118)</f>
        <v>1279500</v>
      </c>
      <c r="H119" s="37">
        <f t="shared" ref="H119:N119" si="139">SUM(H98:H118)</f>
        <v>1983001.47</v>
      </c>
      <c r="I119" s="37">
        <f t="shared" si="139"/>
        <v>1101295</v>
      </c>
      <c r="J119" s="37">
        <f t="shared" si="139"/>
        <v>237232.58</v>
      </c>
      <c r="K119" s="37">
        <f t="shared" si="139"/>
        <v>465706.07</v>
      </c>
      <c r="L119" s="37">
        <f t="shared" si="139"/>
        <v>424071.32</v>
      </c>
      <c r="M119" s="37">
        <f t="shared" si="139"/>
        <v>536467.52</v>
      </c>
      <c r="N119" s="37">
        <f t="shared" si="139"/>
        <v>959584.25000000012</v>
      </c>
      <c r="O119" s="37">
        <f t="shared" ref="O119:U119" si="140">SUM(O98:O118)</f>
        <v>1177875.1599999999</v>
      </c>
      <c r="P119" s="37">
        <f t="shared" si="140"/>
        <v>943653.45</v>
      </c>
      <c r="Q119" s="37">
        <f t="shared" si="140"/>
        <v>1119300</v>
      </c>
      <c r="R119" s="37">
        <f t="shared" si="140"/>
        <v>1109079.5899999999</v>
      </c>
      <c r="S119" s="37">
        <f t="shared" si="140"/>
        <v>1151602.3999999999</v>
      </c>
      <c r="T119" s="37">
        <f t="shared" si="140"/>
        <v>1132845.9099999999</v>
      </c>
      <c r="U119" s="37">
        <f t="shared" si="140"/>
        <v>1294132.9799999997</v>
      </c>
      <c r="V119" s="37">
        <f t="shared" ref="V119:AB119" si="141">SUM(V98:V118)</f>
        <v>1396900.3549999997</v>
      </c>
      <c r="W119" s="37">
        <f t="shared" si="141"/>
        <v>1454993.8195</v>
      </c>
      <c r="X119" s="37">
        <f t="shared" si="141"/>
        <v>1129343.95</v>
      </c>
      <c r="Y119" s="37">
        <f t="shared" si="141"/>
        <v>1059780.6299999999</v>
      </c>
      <c r="Z119" s="37">
        <f t="shared" si="141"/>
        <v>1320430.6299999999</v>
      </c>
      <c r="AA119" s="37">
        <f t="shared" si="141"/>
        <v>977561.63</v>
      </c>
      <c r="AB119" s="37">
        <f t="shared" si="141"/>
        <v>1233135.0299999998</v>
      </c>
      <c r="AC119" s="37">
        <f t="shared" ref="AC119:AH119" si="142">SUM(AC98:AC118)</f>
        <v>558744.04440000001</v>
      </c>
      <c r="AD119" s="37">
        <f t="shared" si="142"/>
        <v>547899.04139999999</v>
      </c>
      <c r="AE119" s="37">
        <f t="shared" si="142"/>
        <v>502547.82</v>
      </c>
      <c r="AF119" s="37">
        <f t="shared" si="142"/>
        <v>375129.41000000003</v>
      </c>
      <c r="AG119" s="37">
        <f t="shared" si="142"/>
        <v>612129.40999999992</v>
      </c>
      <c r="AH119" s="37">
        <f t="shared" si="142"/>
        <v>158629.41</v>
      </c>
      <c r="AI119" s="37">
        <f>SUM(AI98:AI118)</f>
        <v>663291.40999999992</v>
      </c>
      <c r="AJ119" s="37">
        <f>SUM(AJ98:AJ118)</f>
        <v>584279.41</v>
      </c>
      <c r="AK119" s="37">
        <f t="shared" ref="AK119:AL119" si="143">SUM(AK98:AK118)</f>
        <v>680230.41</v>
      </c>
      <c r="AL119" s="37">
        <f t="shared" si="143"/>
        <v>673230.41</v>
      </c>
      <c r="AM119" s="37">
        <f t="shared" ref="AM119:AN119" si="144">SUM(AM98:AM118)</f>
        <v>645230.41</v>
      </c>
      <c r="AN119" s="37">
        <f t="shared" si="144"/>
        <v>645230.41</v>
      </c>
      <c r="AO119" s="37">
        <f t="shared" ref="AO119" si="145">SUM(AO98:AO118)</f>
        <v>503230.41000000003</v>
      </c>
      <c r="AP119" s="19"/>
      <c r="AQ119" s="3" t="s">
        <v>1</v>
      </c>
    </row>
    <row r="120" spans="1:44" ht="15.75" customHeight="1" x14ac:dyDescent="0.25">
      <c r="A120" s="5" t="s">
        <v>1</v>
      </c>
      <c r="B120" s="19"/>
      <c r="C120" s="1" t="s">
        <v>1</v>
      </c>
      <c r="D120" s="1" t="s">
        <v>1</v>
      </c>
      <c r="E120" s="1" t="s">
        <v>1</v>
      </c>
      <c r="F120" s="1" t="s">
        <v>1</v>
      </c>
      <c r="G120" s="1" t="s">
        <v>1</v>
      </c>
      <c r="H120" s="1" t="s">
        <v>1</v>
      </c>
      <c r="I120" s="1" t="s">
        <v>1</v>
      </c>
      <c r="J120" s="1" t="s">
        <v>1</v>
      </c>
      <c r="K120" s="1" t="s">
        <v>1</v>
      </c>
      <c r="L120" s="1" t="s">
        <v>1</v>
      </c>
      <c r="M120" s="1" t="s">
        <v>1</v>
      </c>
      <c r="N120" s="1" t="s">
        <v>1</v>
      </c>
      <c r="O120" s="1" t="s">
        <v>1</v>
      </c>
      <c r="P120" s="1" t="s">
        <v>1</v>
      </c>
      <c r="Q120" s="1" t="s">
        <v>1</v>
      </c>
      <c r="R120" s="1" t="s">
        <v>1</v>
      </c>
      <c r="S120" s="1" t="s">
        <v>1</v>
      </c>
      <c r="T120" s="1" t="s">
        <v>1</v>
      </c>
      <c r="U120" s="1" t="s">
        <v>1</v>
      </c>
      <c r="V120" s="1" t="s">
        <v>1</v>
      </c>
      <c r="W120" s="1" t="s">
        <v>1</v>
      </c>
      <c r="X120" s="1" t="s">
        <v>1</v>
      </c>
      <c r="Y120" s="1" t="s">
        <v>1</v>
      </c>
      <c r="Z120" s="1" t="s">
        <v>1</v>
      </c>
      <c r="AA120" s="1" t="s">
        <v>1</v>
      </c>
      <c r="AB120" s="1" t="s">
        <v>1</v>
      </c>
      <c r="AC120" s="1" t="s">
        <v>1</v>
      </c>
      <c r="AD120" s="1" t="s">
        <v>1</v>
      </c>
      <c r="AE120" s="1" t="s">
        <v>1</v>
      </c>
      <c r="AF120" s="1" t="s">
        <v>1</v>
      </c>
      <c r="AG120" s="1" t="s">
        <v>1</v>
      </c>
      <c r="AH120" s="1" t="s">
        <v>1</v>
      </c>
      <c r="AI120" s="1" t="s">
        <v>1</v>
      </c>
      <c r="AJ120" s="1" t="s">
        <v>1</v>
      </c>
      <c r="AK120" s="1" t="s">
        <v>1</v>
      </c>
      <c r="AL120" s="1" t="s">
        <v>1</v>
      </c>
      <c r="AM120" s="1" t="s">
        <v>1</v>
      </c>
      <c r="AN120" s="1" t="s">
        <v>1</v>
      </c>
      <c r="AO120" s="1" t="s">
        <v>1</v>
      </c>
      <c r="AP120" s="19"/>
      <c r="AQ120" s="3" t="s">
        <v>1</v>
      </c>
    </row>
    <row r="121" spans="1:44" ht="15.75" customHeight="1" x14ac:dyDescent="0.25">
      <c r="A121" s="5" t="s">
        <v>102</v>
      </c>
      <c r="B121" s="19"/>
      <c r="C121" s="1"/>
      <c r="D121" s="1"/>
      <c r="E121" s="1"/>
      <c r="F121" s="1"/>
      <c r="G121" s="49">
        <f>G119+G89</f>
        <v>1400447.83</v>
      </c>
      <c r="H121" s="49">
        <f>H119+H89</f>
        <v>2084180.58</v>
      </c>
      <c r="I121" s="49">
        <f>I119+I89</f>
        <v>1203474.1100000001</v>
      </c>
      <c r="J121" s="49">
        <f>J119+J89</f>
        <v>339711.69</v>
      </c>
      <c r="K121" s="49">
        <f t="shared" ref="K121:Z121" si="146">K119+K90</f>
        <v>487336.80300000001</v>
      </c>
      <c r="L121" s="49">
        <f t="shared" si="146"/>
        <v>458164.74366600002</v>
      </c>
      <c r="M121" s="49">
        <f t="shared" si="146"/>
        <v>578559.16399999999</v>
      </c>
      <c r="N121" s="49">
        <f t="shared" si="146"/>
        <v>1001675.8940000001</v>
      </c>
      <c r="O121" s="49">
        <f t="shared" si="146"/>
        <v>1215778.2594999999</v>
      </c>
      <c r="P121" s="49">
        <f t="shared" si="146"/>
        <v>982806.82949999999</v>
      </c>
      <c r="Q121" s="49">
        <f t="shared" si="146"/>
        <v>1164434.6535</v>
      </c>
      <c r="R121" s="49">
        <f t="shared" si="146"/>
        <v>1150348.7794999999</v>
      </c>
      <c r="S121" s="49">
        <f t="shared" si="146"/>
        <v>1193196.3095</v>
      </c>
      <c r="T121" s="49">
        <f t="shared" si="146"/>
        <v>1174214.8195</v>
      </c>
      <c r="U121" s="49">
        <f t="shared" si="146"/>
        <v>1378585.9799999997</v>
      </c>
      <c r="V121" s="49">
        <f t="shared" si="146"/>
        <v>1449940.5599999998</v>
      </c>
      <c r="W121" s="49">
        <f t="shared" si="146"/>
        <v>1498207.0090000001</v>
      </c>
      <c r="X121" s="49">
        <f t="shared" si="146"/>
        <v>1129343.95</v>
      </c>
      <c r="Y121" s="49">
        <f t="shared" si="146"/>
        <v>1059780.6299999999</v>
      </c>
      <c r="Z121" s="49">
        <f t="shared" si="146"/>
        <v>1320430.6299999999</v>
      </c>
      <c r="AA121" s="49">
        <f t="shared" ref="AA121:AB121" si="147">AA119+AA90</f>
        <v>977561.63</v>
      </c>
      <c r="AB121" s="49">
        <f t="shared" si="147"/>
        <v>1233135.0299999998</v>
      </c>
      <c r="AC121" s="49">
        <f>AC119+AC91</f>
        <v>593805.09</v>
      </c>
      <c r="AD121" s="49">
        <f t="shared" ref="AD121:AH121" si="148">AD119+AD91</f>
        <v>584529.27</v>
      </c>
      <c r="AE121" s="49">
        <f t="shared" si="148"/>
        <v>539266.24860000005</v>
      </c>
      <c r="AF121" s="49">
        <f t="shared" si="148"/>
        <v>451836.14880000002</v>
      </c>
      <c r="AG121" s="49">
        <f t="shared" si="148"/>
        <v>657993.63179999986</v>
      </c>
      <c r="AH121" s="49">
        <f t="shared" si="148"/>
        <v>206967.72839999999</v>
      </c>
      <c r="AI121" s="49">
        <f>AI119+AI91</f>
        <v>705389.72839999991</v>
      </c>
      <c r="AJ121" s="49">
        <f t="shared" ref="AJ121" si="149">AJ119+AJ91</f>
        <v>628131.82500000007</v>
      </c>
      <c r="AK121" s="49">
        <f t="shared" ref="AK121:AL121" si="150">AK119+AK91</f>
        <v>742817.3</v>
      </c>
      <c r="AL121" s="49">
        <f t="shared" si="150"/>
        <v>717082.82500000007</v>
      </c>
      <c r="AM121" s="49">
        <f t="shared" ref="AM121:AN121" si="151">AM119+AM91</f>
        <v>720334.67800000007</v>
      </c>
      <c r="AN121" s="49">
        <f t="shared" si="151"/>
        <v>706623.79099999997</v>
      </c>
      <c r="AO121" s="49">
        <f t="shared" ref="AO121" si="152">AO119+AO91</f>
        <v>603369.43400000001</v>
      </c>
      <c r="AP121" s="19"/>
      <c r="AQ121" s="3" t="s">
        <v>1</v>
      </c>
    </row>
    <row r="122" spans="1:44" ht="15.75" customHeight="1" x14ac:dyDescent="0.25">
      <c r="A122" s="5"/>
      <c r="B122" s="19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9"/>
      <c r="AQ122" s="3" t="s">
        <v>1</v>
      </c>
    </row>
    <row r="123" spans="1:44" ht="15.75" customHeight="1" thickBot="1" x14ac:dyDescent="0.3">
      <c r="A123" s="5" t="s">
        <v>64</v>
      </c>
      <c r="B123" s="19"/>
      <c r="C123" s="1">
        <f>C39-C119</f>
        <v>0</v>
      </c>
      <c r="D123" s="1">
        <f>D39-D119</f>
        <v>0</v>
      </c>
      <c r="E123" s="1">
        <f>E39-E119</f>
        <v>0</v>
      </c>
      <c r="F123" s="1">
        <f>F39-F119</f>
        <v>-24500</v>
      </c>
      <c r="G123" s="51" t="e">
        <f t="shared" ref="G123:Z123" si="153">G60-G121</f>
        <v>#REF!</v>
      </c>
      <c r="H123" s="51" t="e">
        <f t="shared" si="153"/>
        <v>#REF!</v>
      </c>
      <c r="I123" s="51" t="e">
        <f t="shared" si="153"/>
        <v>#REF!</v>
      </c>
      <c r="J123" s="51" t="e">
        <f t="shared" si="153"/>
        <v>#REF!</v>
      </c>
      <c r="K123" s="51" t="e">
        <f t="shared" si="153"/>
        <v>#REF!</v>
      </c>
      <c r="L123" s="51" t="e">
        <f t="shared" si="153"/>
        <v>#REF!</v>
      </c>
      <c r="M123" s="51" t="e">
        <f t="shared" si="153"/>
        <v>#REF!</v>
      </c>
      <c r="N123" s="51">
        <f t="shared" si="153"/>
        <v>6611966.8760000002</v>
      </c>
      <c r="O123" s="51">
        <f t="shared" si="153"/>
        <v>6099878.1910000006</v>
      </c>
      <c r="P123" s="51">
        <f t="shared" si="153"/>
        <v>7611486.1505000005</v>
      </c>
      <c r="Q123" s="51">
        <f t="shared" si="153"/>
        <v>7523570.7595000006</v>
      </c>
      <c r="R123" s="51">
        <f t="shared" si="153"/>
        <v>7487281.0295000002</v>
      </c>
      <c r="S123" s="51">
        <f t="shared" si="153"/>
        <v>7362864.7709999997</v>
      </c>
      <c r="T123" s="51">
        <f t="shared" si="153"/>
        <v>7021094.301</v>
      </c>
      <c r="U123" s="51">
        <f t="shared" si="153"/>
        <v>6846913.8900000006</v>
      </c>
      <c r="V123" s="51">
        <f t="shared" si="153"/>
        <v>6545748.2700000005</v>
      </c>
      <c r="W123" s="51">
        <f t="shared" si="153"/>
        <v>6384299.4385000002</v>
      </c>
      <c r="X123" s="51" t="e">
        <f t="shared" si="153"/>
        <v>#REF!</v>
      </c>
      <c r="Y123" s="51" t="e">
        <f t="shared" si="153"/>
        <v>#REF!</v>
      </c>
      <c r="Z123" s="51" t="e">
        <f t="shared" si="153"/>
        <v>#REF!</v>
      </c>
      <c r="AA123" s="51" t="e">
        <f t="shared" ref="AA123:AB123" si="154">AA60-AA121</f>
        <v>#REF!</v>
      </c>
      <c r="AB123" s="51" t="e">
        <f t="shared" si="154"/>
        <v>#REF!</v>
      </c>
      <c r="AC123" s="51">
        <f>AC60-AC121</f>
        <v>5526295.7553000003</v>
      </c>
      <c r="AD123" s="51">
        <f t="shared" ref="AD123:AH123" si="155">AD60-AD121</f>
        <v>5576305.8043999989</v>
      </c>
      <c r="AE123" s="51">
        <f t="shared" si="155"/>
        <v>5395781.8849739153</v>
      </c>
      <c r="AF123" s="51">
        <f t="shared" si="155"/>
        <v>5397718.3562989719</v>
      </c>
      <c r="AG123" s="51">
        <f t="shared" si="155"/>
        <v>5619651.417544012</v>
      </c>
      <c r="AH123" s="51">
        <f t="shared" si="155"/>
        <v>5942890.8211260149</v>
      </c>
      <c r="AI123" s="51">
        <f t="shared" ref="AI123:AJ123" si="156">AI60-AI121</f>
        <v>5427590.3901021518</v>
      </c>
      <c r="AJ123" s="51">
        <f t="shared" si="156"/>
        <v>5519234.214319448</v>
      </c>
      <c r="AK123" s="51">
        <f t="shared" ref="AK123:AL123" si="157">AK60-AK121</f>
        <v>5305496.1684821267</v>
      </c>
      <c r="AL123" s="51">
        <f t="shared" si="157"/>
        <v>5435574.2270610807</v>
      </c>
      <c r="AM123" s="51">
        <f t="shared" ref="AM123:AN123" si="158">AM60-AM121</f>
        <v>5539295.7248138534</v>
      </c>
      <c r="AN123" s="51">
        <f t="shared" si="158"/>
        <v>5618565.4977236977</v>
      </c>
      <c r="AO123" s="51">
        <f t="shared" ref="AO123" si="159">AO60-AO121</f>
        <v>5737943.0646226155</v>
      </c>
      <c r="AP123" s="19"/>
      <c r="AQ123" s="62">
        <f>AH123-AC123</f>
        <v>416595.06582601462</v>
      </c>
    </row>
    <row r="124" spans="1:44" ht="15.75" customHeight="1" thickTop="1" x14ac:dyDescent="0.25">
      <c r="A124" s="5"/>
    </row>
    <row r="125" spans="1:44" ht="15.75" customHeight="1" x14ac:dyDescent="0.25">
      <c r="M125">
        <f>108422</f>
        <v>108422</v>
      </c>
      <c r="AC125" s="1">
        <f>AC58-AC121</f>
        <v>-22487.624699999928</v>
      </c>
      <c r="AD125" s="1">
        <f t="shared" ref="AD125:AH125" si="160">AD58-AD121</f>
        <v>-22645.565599999973</v>
      </c>
      <c r="AE125" s="1">
        <f t="shared" si="160"/>
        <v>-187210.31502608344</v>
      </c>
      <c r="AF125" s="1">
        <f t="shared" si="160"/>
        <v>-78528.083701029886</v>
      </c>
      <c r="AG125" s="1">
        <f>AG58-AG121</f>
        <v>297982.63754401077</v>
      </c>
      <c r="AH125" s="1">
        <f t="shared" si="160"/>
        <v>1006158.481126015</v>
      </c>
      <c r="AI125" s="1">
        <f t="shared" ref="AI125:AJ125" si="161">AI58-AI121</f>
        <v>-351419.97989784676</v>
      </c>
      <c r="AJ125" s="1">
        <f t="shared" si="161"/>
        <v>283539.58431944821</v>
      </c>
      <c r="AK125" s="1">
        <f t="shared" ref="AK125:AL125" si="162">AK58-AK121</f>
        <v>-213738.04583732132</v>
      </c>
      <c r="AL125" s="1">
        <f t="shared" si="162"/>
        <v>130078.05857895466</v>
      </c>
      <c r="AM125" s="1">
        <f t="shared" ref="AM125:AN125" si="163">AM58-AM121</f>
        <v>103721.49775277264</v>
      </c>
      <c r="AN125" s="1">
        <f t="shared" si="163"/>
        <v>79269.772909844527</v>
      </c>
      <c r="AO125" s="1">
        <f t="shared" ref="AO125" si="164">AO58-AO121</f>
        <v>119377.5668989179</v>
      </c>
    </row>
    <row r="126" spans="1:44" ht="15.75" customHeight="1" x14ac:dyDescent="0.25">
      <c r="B126" s="19"/>
    </row>
    <row r="127" spans="1:44" ht="15.75" customHeight="1" x14ac:dyDescent="0.25">
      <c r="A127" s="5" t="s">
        <v>182</v>
      </c>
      <c r="B127" s="19"/>
      <c r="W127">
        <v>547</v>
      </c>
      <c r="X127" s="59">
        <f t="shared" ref="X127:AC127" si="165">W127+X94</f>
        <v>560</v>
      </c>
      <c r="Y127" s="59">
        <f t="shared" si="165"/>
        <v>577</v>
      </c>
      <c r="Z127" s="59">
        <f>576+Z94</f>
        <v>589</v>
      </c>
      <c r="AA127" s="59">
        <f>595+AA94</f>
        <v>610</v>
      </c>
      <c r="AB127" s="59">
        <v>610</v>
      </c>
      <c r="AC127" s="59">
        <f t="shared" si="165"/>
        <v>616</v>
      </c>
      <c r="AD127" s="59">
        <f t="shared" ref="AD127:AJ127" si="166">AC127+AD94</f>
        <v>619</v>
      </c>
      <c r="AE127" s="59">
        <f t="shared" si="166"/>
        <v>620</v>
      </c>
      <c r="AF127" s="59">
        <f t="shared" si="166"/>
        <v>623</v>
      </c>
      <c r="AG127" s="59">
        <f t="shared" si="166"/>
        <v>629</v>
      </c>
      <c r="AH127" s="59">
        <f t="shared" si="166"/>
        <v>630</v>
      </c>
      <c r="AI127" s="59">
        <f>628+AI94</f>
        <v>634</v>
      </c>
      <c r="AJ127" s="59">
        <f t="shared" si="166"/>
        <v>636</v>
      </c>
      <c r="AK127" s="59">
        <f t="shared" ref="AK127:AO127" si="167">AJ127+AK94</f>
        <v>639</v>
      </c>
      <c r="AL127" s="59">
        <f t="shared" si="167"/>
        <v>642</v>
      </c>
      <c r="AM127" s="59">
        <f t="shared" si="167"/>
        <v>645</v>
      </c>
      <c r="AN127" s="59">
        <f t="shared" si="167"/>
        <v>646</v>
      </c>
      <c r="AO127" s="59">
        <f t="shared" si="167"/>
        <v>646</v>
      </c>
      <c r="AQ127" s="3">
        <v>640</v>
      </c>
      <c r="AR127" t="s">
        <v>183</v>
      </c>
    </row>
    <row r="128" spans="1:44" ht="15.75" customHeight="1" x14ac:dyDescent="0.25">
      <c r="A128" s="5" t="s">
        <v>184</v>
      </c>
      <c r="B128" s="19"/>
      <c r="W128">
        <v>82</v>
      </c>
      <c r="X128" s="59">
        <f t="shared" ref="X128:AC128" si="168">W128-X94</f>
        <v>69</v>
      </c>
      <c r="Y128" s="59">
        <f t="shared" si="168"/>
        <v>52</v>
      </c>
      <c r="Z128" s="59">
        <f t="shared" si="168"/>
        <v>39</v>
      </c>
      <c r="AA128" s="59">
        <f t="shared" si="168"/>
        <v>24</v>
      </c>
      <c r="AB128" s="59">
        <f>35</f>
        <v>35</v>
      </c>
      <c r="AC128" s="59">
        <f t="shared" si="168"/>
        <v>29</v>
      </c>
      <c r="AD128" s="59">
        <f t="shared" ref="AD128:AJ128" si="169">AC128-AD94</f>
        <v>26</v>
      </c>
      <c r="AE128" s="59">
        <f t="shared" si="169"/>
        <v>25</v>
      </c>
      <c r="AF128" s="59">
        <f t="shared" si="169"/>
        <v>22</v>
      </c>
      <c r="AG128" s="59">
        <f t="shared" si="169"/>
        <v>16</v>
      </c>
      <c r="AH128" s="59">
        <f t="shared" si="169"/>
        <v>15</v>
      </c>
      <c r="AI128" s="59">
        <f t="shared" si="169"/>
        <v>9</v>
      </c>
      <c r="AJ128" s="59">
        <f t="shared" si="169"/>
        <v>7</v>
      </c>
      <c r="AK128" s="59">
        <f t="shared" ref="AK128:AO128" si="170">AJ128-AK94</f>
        <v>4</v>
      </c>
      <c r="AL128" s="59">
        <f t="shared" si="170"/>
        <v>1</v>
      </c>
      <c r="AM128" s="59">
        <f t="shared" si="170"/>
        <v>-2</v>
      </c>
      <c r="AN128" s="59">
        <f t="shared" si="170"/>
        <v>-3</v>
      </c>
      <c r="AO128" s="59">
        <f t="shared" si="170"/>
        <v>-3</v>
      </c>
    </row>
    <row r="129" spans="1:2" ht="15.75" customHeight="1" x14ac:dyDescent="0.25">
      <c r="A129" s="5"/>
      <c r="B129" s="19"/>
    </row>
    <row r="130" spans="1:2" ht="15.75" customHeight="1" x14ac:dyDescent="0.25">
      <c r="A130" s="5"/>
      <c r="B130" s="19"/>
    </row>
    <row r="131" spans="1:2" ht="15.75" customHeight="1" x14ac:dyDescent="0.25">
      <c r="A131" s="5"/>
      <c r="B131" s="19"/>
    </row>
    <row r="132" spans="1:2" ht="15.75" customHeight="1" x14ac:dyDescent="0.25">
      <c r="A132" s="5"/>
      <c r="B132" s="19"/>
    </row>
    <row r="133" spans="1:2" ht="15.75" customHeight="1" x14ac:dyDescent="0.25">
      <c r="A133" s="5"/>
      <c r="B133" s="19"/>
    </row>
    <row r="134" spans="1:2" x14ac:dyDescent="0.25">
      <c r="A134" s="5"/>
    </row>
  </sheetData>
  <pageMargins left="0.47" right="0.28999999999999998" top="0.6" bottom="0.36" header="0.2" footer="0.3"/>
  <pageSetup scale="63" orientation="landscape" r:id="rId1"/>
  <colBreaks count="1" manualBreakCount="1">
    <brk id="23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68"/>
  <sheetViews>
    <sheetView workbookViewId="0">
      <selection activeCell="A27" sqref="A27"/>
    </sheetView>
  </sheetViews>
  <sheetFormatPr defaultRowHeight="15" x14ac:dyDescent="0.25"/>
  <cols>
    <col min="1" max="1" width="38.85546875" bestFit="1" customWidth="1"/>
    <col min="2" max="2" width="13.42578125" bestFit="1" customWidth="1"/>
    <col min="3" max="14" width="10.5703125" bestFit="1" customWidth="1"/>
    <col min="15" max="15" width="11.5703125" bestFit="1" customWidth="1"/>
    <col min="16" max="16" width="102.140625" style="3" bestFit="1" customWidth="1"/>
    <col min="17" max="17" width="1.42578125" bestFit="1" customWidth="1"/>
  </cols>
  <sheetData>
    <row r="2" spans="1:16" ht="15.75" x14ac:dyDescent="0.25">
      <c r="A2" s="8" t="s">
        <v>0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/>
    </row>
    <row r="3" spans="1:16" ht="15.75" x14ac:dyDescent="0.25">
      <c r="A3" s="8" t="s">
        <v>114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6" ht="15.75" x14ac:dyDescent="0.25">
      <c r="A4" s="10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</row>
    <row r="5" spans="1:16" ht="15.75" x14ac:dyDescent="0.25">
      <c r="A5" s="12"/>
      <c r="B5" s="6" t="s">
        <v>2</v>
      </c>
      <c r="C5" s="7">
        <v>39814</v>
      </c>
      <c r="D5" s="7">
        <f>C5+31</f>
        <v>39845</v>
      </c>
      <c r="E5" s="7">
        <f t="shared" ref="E5:N5" si="0">D5+31</f>
        <v>39876</v>
      </c>
      <c r="F5" s="7">
        <f t="shared" si="0"/>
        <v>39907</v>
      </c>
      <c r="G5" s="7">
        <f t="shared" si="0"/>
        <v>39938</v>
      </c>
      <c r="H5" s="7">
        <f t="shared" si="0"/>
        <v>39969</v>
      </c>
      <c r="I5" s="7">
        <f t="shared" si="0"/>
        <v>40000</v>
      </c>
      <c r="J5" s="7">
        <f t="shared" si="0"/>
        <v>40031</v>
      </c>
      <c r="K5" s="7">
        <f t="shared" si="0"/>
        <v>40062</v>
      </c>
      <c r="L5" s="7">
        <f t="shared" si="0"/>
        <v>40093</v>
      </c>
      <c r="M5" s="7">
        <f t="shared" si="0"/>
        <v>40124</v>
      </c>
      <c r="N5" s="7">
        <f t="shared" si="0"/>
        <v>40155</v>
      </c>
      <c r="O5" s="13" t="s">
        <v>62</v>
      </c>
      <c r="P5" s="2" t="s">
        <v>3</v>
      </c>
    </row>
    <row r="6" spans="1:16" hidden="1" x14ac:dyDescent="0.25">
      <c r="A6" t="s">
        <v>80</v>
      </c>
    </row>
    <row r="7" spans="1:16" hidden="1" x14ac:dyDescent="0.25">
      <c r="A7" t="s">
        <v>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136950</v>
      </c>
    </row>
    <row r="8" spans="1:16" hidden="1" x14ac:dyDescent="0.25">
      <c r="A8" t="s">
        <v>5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126000</v>
      </c>
    </row>
    <row r="9" spans="1:16" hidden="1" x14ac:dyDescent="0.25">
      <c r="A9" t="s">
        <v>6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126000</v>
      </c>
    </row>
    <row r="10" spans="1:16" hidden="1" x14ac:dyDescent="0.25">
      <c r="A10" t="s">
        <v>7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</row>
    <row r="11" spans="1:16" hidden="1" x14ac:dyDescent="0.25">
      <c r="A11" t="s">
        <v>8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40000</v>
      </c>
    </row>
    <row r="12" spans="1:16" hidden="1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</row>
    <row r="13" spans="1:16" hidden="1" x14ac:dyDescent="0.25">
      <c r="A13" t="s">
        <v>10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55000.000000000007</v>
      </c>
    </row>
    <row r="14" spans="1:16" hidden="1" x14ac:dyDescent="0.25">
      <c r="A14" t="s">
        <v>11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6" hidden="1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6" hidden="1" x14ac:dyDescent="0.25">
      <c r="A16" t="s">
        <v>13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40000</v>
      </c>
    </row>
    <row r="17" spans="1:15" hidden="1" x14ac:dyDescent="0.25">
      <c r="A17" t="s">
        <v>14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</row>
    <row r="18" spans="1:15" ht="15.75" customHeight="1" x14ac:dyDescent="0.25">
      <c r="A18" t="s">
        <v>93</v>
      </c>
      <c r="O18" t="s">
        <v>1</v>
      </c>
    </row>
    <row r="19" spans="1:15" ht="15.75" customHeight="1" x14ac:dyDescent="0.25">
      <c r="A19" t="s">
        <v>98</v>
      </c>
      <c r="B19" s="1">
        <f t="shared" ref="B19:B26" si="1">SUM(C19:N19)</f>
        <v>9950477</v>
      </c>
      <c r="C19" s="17">
        <f>REACH!C19</f>
        <v>792336.25</v>
      </c>
      <c r="D19" s="17">
        <f>REACH!D19</f>
        <v>792336.25</v>
      </c>
      <c r="E19" s="17">
        <f>REACH!E19</f>
        <v>792336.25</v>
      </c>
      <c r="F19" s="17">
        <f>REACH!F19</f>
        <v>792336.25</v>
      </c>
      <c r="G19" s="17">
        <f>REACH!G19</f>
        <v>792336.25</v>
      </c>
      <c r="H19" s="17">
        <f>REACH!H19</f>
        <v>855542.25</v>
      </c>
      <c r="I19" s="17">
        <f>REACH!I19</f>
        <v>855542.25</v>
      </c>
      <c r="J19" s="17">
        <f>REACH!J19</f>
        <v>855542.25</v>
      </c>
      <c r="K19" s="17">
        <f>REACH!K19</f>
        <v>855542.25</v>
      </c>
      <c r="L19" s="17">
        <f>REACH!L19</f>
        <v>855542.25</v>
      </c>
      <c r="M19" s="17">
        <f>REACH!M19</f>
        <v>855542.25</v>
      </c>
      <c r="N19" s="17">
        <f>REACH!N19</f>
        <v>855542.25</v>
      </c>
    </row>
    <row r="20" spans="1:15" ht="15.75" customHeight="1" x14ac:dyDescent="0.25">
      <c r="A20" t="s">
        <v>104</v>
      </c>
      <c r="B20" s="1">
        <f t="shared" si="1"/>
        <v>0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5" ht="15.75" customHeight="1" x14ac:dyDescent="0.25">
      <c r="A21" t="s">
        <v>116</v>
      </c>
      <c r="B21" s="1">
        <f t="shared" si="1"/>
        <v>0</v>
      </c>
      <c r="C21" s="17" t="s">
        <v>1</v>
      </c>
      <c r="D21" s="17" t="s">
        <v>1</v>
      </c>
      <c r="E21" s="17" t="s">
        <v>1</v>
      </c>
      <c r="F21" s="17" t="s">
        <v>1</v>
      </c>
      <c r="G21" s="17" t="s">
        <v>1</v>
      </c>
      <c r="H21" s="17" t="s">
        <v>1</v>
      </c>
      <c r="I21" s="17" t="s">
        <v>1</v>
      </c>
      <c r="J21" s="17" t="s">
        <v>1</v>
      </c>
      <c r="K21" s="17" t="s">
        <v>1</v>
      </c>
      <c r="L21" s="17" t="s">
        <v>1</v>
      </c>
      <c r="M21" s="17" t="s">
        <v>1</v>
      </c>
      <c r="N21" s="17" t="s">
        <v>1</v>
      </c>
    </row>
    <row r="22" spans="1:15" ht="15.75" customHeight="1" x14ac:dyDescent="0.25">
      <c r="A22" t="s">
        <v>86</v>
      </c>
      <c r="B22" s="1">
        <f t="shared" si="1"/>
        <v>0</v>
      </c>
      <c r="C22" s="17">
        <f>CDFI!C22</f>
        <v>0</v>
      </c>
      <c r="D22" s="17">
        <f>CDFI!D22</f>
        <v>0</v>
      </c>
      <c r="E22" s="17">
        <f>CDFI!E22</f>
        <v>0</v>
      </c>
      <c r="F22" s="17">
        <f>CDFI!F22</f>
        <v>0</v>
      </c>
      <c r="G22" s="17">
        <f>CDFI!G22</f>
        <v>0</v>
      </c>
      <c r="H22" s="17">
        <f>CDFI!H22</f>
        <v>0</v>
      </c>
      <c r="I22" s="17">
        <f>CDFI!I22</f>
        <v>0</v>
      </c>
      <c r="J22" s="17">
        <f>CDFI!J22</f>
        <v>0</v>
      </c>
      <c r="K22" s="17">
        <f>CDFI!K22</f>
        <v>0</v>
      </c>
      <c r="L22" s="17">
        <f>CDFI!L22</f>
        <v>0</v>
      </c>
      <c r="M22" s="17">
        <f>CDFI!M22</f>
        <v>0</v>
      </c>
      <c r="N22" s="17">
        <f>CDFI!N22</f>
        <v>0</v>
      </c>
    </row>
    <row r="23" spans="1:15" ht="15.75" customHeight="1" x14ac:dyDescent="0.25">
      <c r="A23" t="s">
        <v>87</v>
      </c>
      <c r="B23" s="1">
        <f t="shared" si="1"/>
        <v>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5" ht="15.75" customHeight="1" x14ac:dyDescent="0.25">
      <c r="A24" t="s">
        <v>88</v>
      </c>
      <c r="B24" s="1">
        <f t="shared" si="1"/>
        <v>0</v>
      </c>
      <c r="C24" s="17">
        <f>'Site Acceleration Fund'!C24</f>
        <v>0</v>
      </c>
      <c r="D24" s="17">
        <f>'Site Acceleration Fund'!D24</f>
        <v>0</v>
      </c>
      <c r="E24" s="17">
        <f>'Site Acceleration Fund'!E24</f>
        <v>0</v>
      </c>
      <c r="F24" s="17">
        <f>'Site Acceleration Fund'!F24</f>
        <v>0</v>
      </c>
      <c r="G24" s="17">
        <f>'Site Acceleration Fund'!G24</f>
        <v>0</v>
      </c>
      <c r="H24" s="17">
        <f>'Site Acceleration Fund'!H24</f>
        <v>0</v>
      </c>
      <c r="I24" s="17">
        <f>'Site Acceleration Fund'!I24</f>
        <v>0</v>
      </c>
      <c r="J24" s="17">
        <f>'Site Acceleration Fund'!J24</f>
        <v>0</v>
      </c>
      <c r="K24" s="17">
        <f>'Site Acceleration Fund'!K24</f>
        <v>0</v>
      </c>
      <c r="L24" s="17">
        <f>'Site Acceleration Fund'!L24</f>
        <v>0</v>
      </c>
      <c r="M24" s="17">
        <f>'Site Acceleration Fund'!M24</f>
        <v>0</v>
      </c>
      <c r="N24" s="17">
        <f>'Site Acceleration Fund'!N24</f>
        <v>0</v>
      </c>
    </row>
    <row r="25" spans="1:15" ht="15.75" customHeight="1" x14ac:dyDescent="0.25">
      <c r="A25" t="s">
        <v>108</v>
      </c>
      <c r="B25" s="1">
        <f>SUM(C25:N25)</f>
        <v>0</v>
      </c>
      <c r="C25" s="17">
        <f>'Wachovia Grant'!C25</f>
        <v>0</v>
      </c>
      <c r="D25" s="17">
        <f>'Wachovia Grant'!D25</f>
        <v>0</v>
      </c>
      <c r="E25" s="17">
        <f>'Wachovia Grant'!E25</f>
        <v>0</v>
      </c>
      <c r="F25" s="17">
        <f>'Wachovia Grant'!F25</f>
        <v>0</v>
      </c>
      <c r="G25" s="17">
        <f>'Wachovia Grant'!G25</f>
        <v>0</v>
      </c>
      <c r="H25" s="17">
        <f>'Wachovia Grant'!H25</f>
        <v>0</v>
      </c>
      <c r="I25" s="17">
        <f>'Wachovia Grant'!I25</f>
        <v>0</v>
      </c>
      <c r="J25" s="17">
        <f>'Wachovia Grant'!J25</f>
        <v>0</v>
      </c>
      <c r="K25" s="17">
        <f>'Wachovia Grant'!K25</f>
        <v>0</v>
      </c>
      <c r="L25" s="17">
        <f>'Wachovia Grant'!L25</f>
        <v>0</v>
      </c>
      <c r="M25" s="17">
        <f>'Wachovia Grant'!M25</f>
        <v>0</v>
      </c>
      <c r="N25" s="17">
        <f>'Wachovia Grant'!N25</f>
        <v>0</v>
      </c>
    </row>
    <row r="26" spans="1:15" ht="15.75" customHeight="1" x14ac:dyDescent="0.25">
      <c r="A26" s="41" t="s">
        <v>125</v>
      </c>
      <c r="B26" s="1">
        <f t="shared" si="1"/>
        <v>0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5" ht="15.75" customHeight="1" x14ac:dyDescent="0.25">
      <c r="A27" t="s">
        <v>107</v>
      </c>
      <c r="B27" s="4">
        <f>SUM(C27:N27)</f>
        <v>0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5" ht="15.75" customHeight="1" x14ac:dyDescent="0.25">
      <c r="A28" t="s">
        <v>94</v>
      </c>
      <c r="B28" s="19">
        <f>SUM(B19:B27)</f>
        <v>9950477</v>
      </c>
      <c r="C28" s="23">
        <f t="shared" ref="C28:N28" si="2">SUM(C19:C27)</f>
        <v>792336.25</v>
      </c>
      <c r="D28" s="23">
        <f t="shared" si="2"/>
        <v>792336.25</v>
      </c>
      <c r="E28" s="23">
        <f t="shared" si="2"/>
        <v>792336.25</v>
      </c>
      <c r="F28" s="23">
        <f t="shared" si="2"/>
        <v>792336.25</v>
      </c>
      <c r="G28" s="23">
        <f t="shared" si="2"/>
        <v>792336.25</v>
      </c>
      <c r="H28" s="23">
        <f t="shared" si="2"/>
        <v>855542.25</v>
      </c>
      <c r="I28" s="23">
        <f t="shared" si="2"/>
        <v>855542.25</v>
      </c>
      <c r="J28" s="23">
        <f t="shared" si="2"/>
        <v>855542.25</v>
      </c>
      <c r="K28" s="23">
        <f t="shared" si="2"/>
        <v>855542.25</v>
      </c>
      <c r="L28" s="23">
        <f t="shared" si="2"/>
        <v>855542.25</v>
      </c>
      <c r="M28" s="23">
        <f t="shared" si="2"/>
        <v>855542.25</v>
      </c>
      <c r="N28" s="23">
        <f t="shared" si="2"/>
        <v>855542.25</v>
      </c>
    </row>
    <row r="29" spans="1:15" ht="15.75" customHeight="1" x14ac:dyDescent="0.25">
      <c r="B29" s="19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5" ht="15" customHeight="1" x14ac:dyDescent="0.25">
      <c r="A30" t="s">
        <v>96</v>
      </c>
      <c r="B30" s="19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15" ht="15" customHeight="1" x14ac:dyDescent="0.25">
      <c r="A31" t="s">
        <v>95</v>
      </c>
      <c r="B31" s="4">
        <f>SUM(C31:N31)</f>
        <v>19176</v>
      </c>
      <c r="C31" s="18">
        <f>REACH!C31+'Community Technical Advisory '!C31+'Renaissance Guild'!C31+CDFI!C31+'MS Loan Fund'!C31+'Site Acceleration Fund'!C31+'Wachovia Grant'!C31+'G&amp;A'!C31</f>
        <v>0</v>
      </c>
      <c r="D31" s="18">
        <f>REACH!D31+'Community Technical Advisory '!D31+'Renaissance Guild'!D31+CDFI!D31+'MS Loan Fund'!D31+'Site Acceleration Fund'!D31+'Wachovia Grant'!D31+'G&amp;A'!D31</f>
        <v>0</v>
      </c>
      <c r="E31" s="18">
        <f>REACH!E31+'Community Technical Advisory '!E31+'Renaissance Guild'!E31+CDFI!E31+'MS Loan Fund'!E31+'Site Acceleration Fund'!E31+'Wachovia Grant'!E31+'G&amp;A'!E31</f>
        <v>0</v>
      </c>
      <c r="F31" s="18">
        <f>REACH!F31+'Community Technical Advisory '!F31+'Renaissance Guild'!F31+CDFI!F31+'MS Loan Fund'!F31+'Site Acceleration Fund'!F31+'Wachovia Grant'!F31+'G&amp;A'!F31</f>
        <v>0</v>
      </c>
      <c r="G31" s="18">
        <f>REACH!G31+'Community Technical Advisory '!G31+'Renaissance Guild'!G31+CDFI!G31+'MS Loan Fund'!G31+'Site Acceleration Fund'!G31+'Wachovia Grant'!G31+'G&amp;A'!G31</f>
        <v>19176</v>
      </c>
      <c r="H31" s="18">
        <f>REACH!H31+'Community Technical Advisory '!H31+'Renaissance Guild'!H31+CDFI!H31+'MS Loan Fund'!H31+'Site Acceleration Fund'!H31+'Wachovia Grant'!H31+'G&amp;A'!H31</f>
        <v>0</v>
      </c>
      <c r="I31" s="18">
        <f>REACH!I31+'Community Technical Advisory '!I31+'Renaissance Guild'!I31+CDFI!I31+'MS Loan Fund'!I31+'Site Acceleration Fund'!I31+'Wachovia Grant'!I31+'G&amp;A'!I31</f>
        <v>0</v>
      </c>
      <c r="J31" s="18">
        <f>REACH!J31+'Community Technical Advisory '!J31+'Renaissance Guild'!J31+CDFI!J31+'MS Loan Fund'!J31+'Site Acceleration Fund'!J31+'Wachovia Grant'!J31+'G&amp;A'!J31</f>
        <v>0</v>
      </c>
      <c r="K31" s="18">
        <f>REACH!K31+'Community Technical Advisory '!K31+'Renaissance Guild'!K31+CDFI!K31+'MS Loan Fund'!K31+'Site Acceleration Fund'!K31+'Wachovia Grant'!K31+'G&amp;A'!K31</f>
        <v>0</v>
      </c>
      <c r="L31" s="18">
        <f>REACH!L31+'Community Technical Advisory '!L31+'Renaissance Guild'!L31+CDFI!L31+'MS Loan Fund'!L31+'Site Acceleration Fund'!L31+'Wachovia Grant'!L31+'G&amp;A'!L31</f>
        <v>0</v>
      </c>
      <c r="M31" s="18">
        <f>REACH!M31+'Community Technical Advisory '!M31+'Renaissance Guild'!M31+CDFI!M31+'MS Loan Fund'!M31+'Site Acceleration Fund'!M31+'Wachovia Grant'!M31+'G&amp;A'!M31</f>
        <v>0</v>
      </c>
      <c r="N31" s="18">
        <f>REACH!N31+'Community Technical Advisory '!N31+'Renaissance Guild'!N31+CDFI!N31+'MS Loan Fund'!N31+'Site Acceleration Fund'!N31+'Wachovia Grant'!N31+'G&amp;A'!N31</f>
        <v>0</v>
      </c>
    </row>
    <row r="32" spans="1:15" ht="15.75" customHeight="1" x14ac:dyDescent="0.25">
      <c r="A32" t="s">
        <v>97</v>
      </c>
      <c r="B32" s="19">
        <f>B28-B31</f>
        <v>9931301</v>
      </c>
      <c r="C32" s="23">
        <f t="shared" ref="C32:N32" si="3">C28-C31</f>
        <v>792336.25</v>
      </c>
      <c r="D32" s="23">
        <f t="shared" si="3"/>
        <v>792336.25</v>
      </c>
      <c r="E32" s="23">
        <f t="shared" si="3"/>
        <v>792336.25</v>
      </c>
      <c r="F32" s="23">
        <f t="shared" si="3"/>
        <v>792336.25</v>
      </c>
      <c r="G32" s="23">
        <f t="shared" si="3"/>
        <v>773160.25</v>
      </c>
      <c r="H32" s="23">
        <f t="shared" si="3"/>
        <v>855542.25</v>
      </c>
      <c r="I32" s="23">
        <f t="shared" si="3"/>
        <v>855542.25</v>
      </c>
      <c r="J32" s="23">
        <f t="shared" si="3"/>
        <v>855542.25</v>
      </c>
      <c r="K32" s="23">
        <f t="shared" si="3"/>
        <v>855542.25</v>
      </c>
      <c r="L32" s="23">
        <f t="shared" si="3"/>
        <v>855542.25</v>
      </c>
      <c r="M32" s="23">
        <f t="shared" si="3"/>
        <v>855542.25</v>
      </c>
      <c r="N32" s="23">
        <f t="shared" si="3"/>
        <v>855542.25</v>
      </c>
    </row>
    <row r="33" spans="1:17" ht="15.75" customHeight="1" x14ac:dyDescent="0.25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7" ht="15.75" customHeight="1" x14ac:dyDescent="0.25">
      <c r="A34" t="s">
        <v>92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7" ht="15.75" customHeight="1" x14ac:dyDescent="0.25">
      <c r="A35" t="s">
        <v>21</v>
      </c>
      <c r="B35" s="1">
        <f>SUM(C35:N35)</f>
        <v>585921.875</v>
      </c>
      <c r="C35" s="36">
        <f>REACH!C35+'Community Technical Advisory '!C35+'Renaissance Guild'!C35+CDFI!C35+'MS Loan Fund'!C35+'Site Acceleration Fund'!C35+'Wachovia Grant'!C35+'G&amp;A'!C35</f>
        <v>48125</v>
      </c>
      <c r="D35" s="36">
        <f>REACH!D35+'Community Technical Advisory '!D35+'Renaissance Guild'!D35+CDFI!D35+'MS Loan Fund'!D35+'Site Acceleration Fund'!D35+'Wachovia Grant'!D35+'G&amp;A'!D35</f>
        <v>48125</v>
      </c>
      <c r="E35" s="36">
        <f>REACH!E35+'Community Technical Advisory '!E35+'Renaissance Guild'!E35+CDFI!E35+'MS Loan Fund'!E35+'Site Acceleration Fund'!E35+'Wachovia Grant'!E35+'G&amp;A'!E35</f>
        <v>48125</v>
      </c>
      <c r="F35" s="36">
        <f>REACH!F35+'Community Technical Advisory '!F35+'Renaissance Guild'!F35+CDFI!F35+'MS Loan Fund'!F35+'Site Acceleration Fund'!F35+'Wachovia Grant'!F35+'G&amp;A'!F35</f>
        <v>48125</v>
      </c>
      <c r="G35" s="36">
        <f>REACH!G35+'Community Technical Advisory '!G35+'Renaissance Guild'!G35+CDFI!G35+'MS Loan Fund'!G35+'Site Acceleration Fund'!G35+'Wachovia Grant'!G35+'G&amp;A'!G35</f>
        <v>48125</v>
      </c>
      <c r="H35" s="36">
        <f>REACH!H35+'Community Technical Advisory '!H35+'Renaissance Guild'!H35+CDFI!H35+'MS Loan Fund'!H35+'Site Acceleration Fund'!H35+'Wachovia Grant'!H35+'G&amp;A'!H35</f>
        <v>49328.125</v>
      </c>
      <c r="I35" s="36">
        <f>REACH!I35+'Community Technical Advisory '!I35+'Renaissance Guild'!I35+CDFI!I35+'MS Loan Fund'!I35+'Site Acceleration Fund'!I35+'Wachovia Grant'!I35+'G&amp;A'!I35</f>
        <v>49328.125</v>
      </c>
      <c r="J35" s="36">
        <f>REACH!J35+'Community Technical Advisory '!J35+'Renaissance Guild'!J35+CDFI!J35+'MS Loan Fund'!J35+'Site Acceleration Fund'!J35+'Wachovia Grant'!J35+'G&amp;A'!J35</f>
        <v>49328.125</v>
      </c>
      <c r="K35" s="36">
        <f>REACH!K35+'Community Technical Advisory '!K35+'Renaissance Guild'!K35+CDFI!K35+'MS Loan Fund'!K35+'Site Acceleration Fund'!K35+'Wachovia Grant'!K35+'G&amp;A'!K35</f>
        <v>49328.125</v>
      </c>
      <c r="L35" s="36">
        <f>REACH!L35+'Community Technical Advisory '!L35+'Renaissance Guild'!L35+CDFI!L35+'MS Loan Fund'!L35+'Site Acceleration Fund'!L35+'Wachovia Grant'!L35+'G&amp;A'!L35</f>
        <v>49328.125</v>
      </c>
      <c r="M35" s="36">
        <f>REACH!M35+'Community Technical Advisory '!M35+'Renaissance Guild'!M35+CDFI!M35+'MS Loan Fund'!M35+'Site Acceleration Fund'!M35+'Wachovia Grant'!M35+'G&amp;A'!M35</f>
        <v>49328.125</v>
      </c>
      <c r="N35" s="36">
        <f>REACH!N35+'Community Technical Advisory '!N35+'Renaissance Guild'!N35+CDFI!N35+'MS Loan Fund'!N35+'Site Acceleration Fund'!N35+'Wachovia Grant'!N35+'G&amp;A'!N35</f>
        <v>49328.125</v>
      </c>
      <c r="O35" s="1">
        <v>523950.00000000006</v>
      </c>
      <c r="P35" s="3" t="s">
        <v>22</v>
      </c>
    </row>
    <row r="36" spans="1:17" ht="15.75" customHeight="1" x14ac:dyDescent="0.25">
      <c r="A36" t="s">
        <v>23</v>
      </c>
      <c r="B36" s="1">
        <f>SUM(C36:N36)</f>
        <v>146480.54166666669</v>
      </c>
      <c r="C36" s="36">
        <f>REACH!C36+'Community Technical Advisory '!C36+'Renaissance Guild'!C36+CDFI!C36+'MS Loan Fund'!C36+'Site Acceleration Fund'!C36+'Wachovia Grant'!C36+'G&amp;A'!C36</f>
        <v>12031.25</v>
      </c>
      <c r="D36" s="36">
        <f>REACH!D36+'Community Technical Advisory '!D36+'Renaissance Guild'!D36+CDFI!D36+'MS Loan Fund'!D36+'Site Acceleration Fund'!D36+'Wachovia Grant'!D36+'G&amp;A'!D36</f>
        <v>12031.25</v>
      </c>
      <c r="E36" s="36">
        <f>REACH!E36+'Community Technical Advisory '!E36+'Renaissance Guild'!E36+CDFI!E36+'MS Loan Fund'!E36+'Site Acceleration Fund'!E36+'Wachovia Grant'!E36+'G&amp;A'!E36</f>
        <v>12031.25</v>
      </c>
      <c r="F36" s="36">
        <f>REACH!F36+'Community Technical Advisory '!F36+'Renaissance Guild'!F36+CDFI!F36+'MS Loan Fund'!F36+'Site Acceleration Fund'!F36+'Wachovia Grant'!F36+'G&amp;A'!F36</f>
        <v>12031.25</v>
      </c>
      <c r="G36" s="36">
        <f>REACH!G36+'Community Technical Advisory '!G36+'Renaissance Guild'!G36+CDFI!G36+'MS Loan Fund'!G36+'Site Acceleration Fund'!G36+'Wachovia Grant'!G36+'G&amp;A'!G36</f>
        <v>12031.25</v>
      </c>
      <c r="H36" s="36">
        <f>REACH!H36+'Community Technical Advisory '!H36+'Renaissance Guild'!H36+CDFI!H36+'MS Loan Fund'!H36+'Site Acceleration Fund'!H36+'Wachovia Grant'!H36+'G&amp;A'!H36</f>
        <v>12332.041666666668</v>
      </c>
      <c r="I36" s="36">
        <f>REACH!I36+'Community Technical Advisory '!I36+'Renaissance Guild'!I36+CDFI!I36+'MS Loan Fund'!I36+'Site Acceleration Fund'!I36+'Wachovia Grant'!I36+'G&amp;A'!I36</f>
        <v>12332.041666666668</v>
      </c>
      <c r="J36" s="36">
        <f>REACH!J36+'Community Technical Advisory '!J36+'Renaissance Guild'!J36+CDFI!J36+'MS Loan Fund'!J36+'Site Acceleration Fund'!J36+'Wachovia Grant'!J36+'G&amp;A'!J36</f>
        <v>12332.041666666668</v>
      </c>
      <c r="K36" s="36">
        <f>REACH!K36+'Community Technical Advisory '!K36+'Renaissance Guild'!K36+CDFI!K36+'MS Loan Fund'!K36+'Site Acceleration Fund'!K36+'Wachovia Grant'!K36+'G&amp;A'!K36</f>
        <v>12332.041666666668</v>
      </c>
      <c r="L36" s="36">
        <f>REACH!L36+'Community Technical Advisory '!L36+'Renaissance Guild'!L36+CDFI!L36+'MS Loan Fund'!L36+'Site Acceleration Fund'!L36+'Wachovia Grant'!L36+'G&amp;A'!L36</f>
        <v>12332.041666666668</v>
      </c>
      <c r="M36" s="36">
        <f>REACH!M36+'Community Technical Advisory '!M36+'Renaissance Guild'!M36+CDFI!M36+'MS Loan Fund'!M36+'Site Acceleration Fund'!M36+'Wachovia Grant'!M36+'G&amp;A'!M36</f>
        <v>12332.041666666668</v>
      </c>
      <c r="N36" s="36">
        <f>REACH!N36+'Community Technical Advisory '!N36+'Renaissance Guild'!N36+CDFI!N36+'MS Loan Fund'!N36+'Site Acceleration Fund'!N36+'Wachovia Grant'!N36+'G&amp;A'!N36</f>
        <v>12332.041666666668</v>
      </c>
      <c r="O36" s="33">
        <v>130987.5</v>
      </c>
      <c r="P36" s="3" t="s">
        <v>24</v>
      </c>
    </row>
    <row r="37" spans="1:17" ht="15.75" customHeight="1" x14ac:dyDescent="0.25">
      <c r="A37" t="s">
        <v>25</v>
      </c>
      <c r="B37" s="1">
        <f>SUM(C37:N37)</f>
        <v>36000</v>
      </c>
      <c r="C37" s="36">
        <f>REACH!C37+'Community Technical Advisory '!C37+'Renaissance Guild'!C37+CDFI!C37+'MS Loan Fund'!C37+'Site Acceleration Fund'!C37+'Wachovia Grant'!C37+'G&amp;A'!C37</f>
        <v>3000</v>
      </c>
      <c r="D37" s="36">
        <f>REACH!D37+'Community Technical Advisory '!D37+'Renaissance Guild'!D37+CDFI!D37+'MS Loan Fund'!D37+'Site Acceleration Fund'!D37+'Wachovia Grant'!D37+'G&amp;A'!D37</f>
        <v>3000</v>
      </c>
      <c r="E37" s="36">
        <f>REACH!E37+'Community Technical Advisory '!E37+'Renaissance Guild'!E37+CDFI!E37+'MS Loan Fund'!E37+'Site Acceleration Fund'!E37+'Wachovia Grant'!E37+'G&amp;A'!E37</f>
        <v>3000</v>
      </c>
      <c r="F37" s="36">
        <f>REACH!F37+'Community Technical Advisory '!F37+'Renaissance Guild'!F37+CDFI!F37+'MS Loan Fund'!F37+'Site Acceleration Fund'!F37+'Wachovia Grant'!F37+'G&amp;A'!F37</f>
        <v>3000</v>
      </c>
      <c r="G37" s="36">
        <f>REACH!G37+'Community Technical Advisory '!G37+'Renaissance Guild'!G37+CDFI!G37+'MS Loan Fund'!G37+'Site Acceleration Fund'!G37+'Wachovia Grant'!G37+'G&amp;A'!G37</f>
        <v>3000</v>
      </c>
      <c r="H37" s="36">
        <f>REACH!H37+'Community Technical Advisory '!H37+'Renaissance Guild'!H37+CDFI!H37+'MS Loan Fund'!H37+'Site Acceleration Fund'!H37+'Wachovia Grant'!H37+'G&amp;A'!H37</f>
        <v>3000</v>
      </c>
      <c r="I37" s="36">
        <f>REACH!I37+'Community Technical Advisory '!I37+'Renaissance Guild'!I37+CDFI!I37+'MS Loan Fund'!I37+'Site Acceleration Fund'!I37+'Wachovia Grant'!I37+'G&amp;A'!I37</f>
        <v>3000</v>
      </c>
      <c r="J37" s="36">
        <f>REACH!J37+'Community Technical Advisory '!J37+'Renaissance Guild'!J37+CDFI!J37+'MS Loan Fund'!J37+'Site Acceleration Fund'!J37+'Wachovia Grant'!J37+'G&amp;A'!J37</f>
        <v>3000</v>
      </c>
      <c r="K37" s="36">
        <f>REACH!K37+'Community Technical Advisory '!K37+'Renaissance Guild'!K37+CDFI!K37+'MS Loan Fund'!K37+'Site Acceleration Fund'!K37+'Wachovia Grant'!K37+'G&amp;A'!K37</f>
        <v>3000</v>
      </c>
      <c r="L37" s="36">
        <f>REACH!L37+'Community Technical Advisory '!L37+'Renaissance Guild'!L37+CDFI!L37+'MS Loan Fund'!L37+'Site Acceleration Fund'!L37+'Wachovia Grant'!L37+'G&amp;A'!L37</f>
        <v>3000</v>
      </c>
      <c r="M37" s="36">
        <f>REACH!M37+'Community Technical Advisory '!M37+'Renaissance Guild'!M37+CDFI!M37+'MS Loan Fund'!M37+'Site Acceleration Fund'!M37+'Wachovia Grant'!M37+'G&amp;A'!M37</f>
        <v>3000</v>
      </c>
      <c r="N37" s="36">
        <f>REACH!N37+'Community Technical Advisory '!N37+'Renaissance Guild'!N37+CDFI!N37+'MS Loan Fund'!N37+'Site Acceleration Fund'!N37+'Wachovia Grant'!N37+'G&amp;A'!N37</f>
        <v>3000</v>
      </c>
      <c r="O37" s="1">
        <v>9000</v>
      </c>
      <c r="P37" s="3" t="s">
        <v>26</v>
      </c>
    </row>
    <row r="38" spans="1:17" ht="15.75" customHeight="1" x14ac:dyDescent="0.25">
      <c r="A38" t="s">
        <v>27</v>
      </c>
      <c r="B38" s="1">
        <f>SUM(C38:N38)</f>
        <v>0</v>
      </c>
      <c r="C38" s="36">
        <f>REACH!C38+'Community Technical Advisory '!C38+'Renaissance Guild'!C38+CDFI!C38+'MS Loan Fund'!C38+'Site Acceleration Fund'!C38+'Wachovia Grant'!C38+'G&amp;A'!C38</f>
        <v>0</v>
      </c>
      <c r="D38" s="36">
        <f>REACH!D38+'Community Technical Advisory '!D38+'Renaissance Guild'!D38+CDFI!D38+'MS Loan Fund'!D38+'Site Acceleration Fund'!D38+'Wachovia Grant'!D38+'G&amp;A'!D38</f>
        <v>0</v>
      </c>
      <c r="E38" s="36">
        <f>REACH!E38+'Community Technical Advisory '!E38+'Renaissance Guild'!E38+CDFI!E38+'MS Loan Fund'!E38+'Site Acceleration Fund'!E38+'Wachovia Grant'!E38+'G&amp;A'!E38</f>
        <v>0</v>
      </c>
      <c r="F38" s="36">
        <f>REACH!F38+'Community Technical Advisory '!F38+'Renaissance Guild'!F38+CDFI!F38+'MS Loan Fund'!F38+'Site Acceleration Fund'!F38+'Wachovia Grant'!F38+'G&amp;A'!F38</f>
        <v>0</v>
      </c>
      <c r="G38" s="36">
        <f>REACH!G38+'Community Technical Advisory '!G38+'Renaissance Guild'!G38+CDFI!G38+'MS Loan Fund'!G38+'Site Acceleration Fund'!G38+'Wachovia Grant'!G38+'G&amp;A'!G38</f>
        <v>0</v>
      </c>
      <c r="H38" s="36">
        <f>REACH!H38+'Community Technical Advisory '!H38+'Renaissance Guild'!H38+CDFI!H38+'MS Loan Fund'!H38+'Site Acceleration Fund'!H38+'Wachovia Grant'!H38+'G&amp;A'!H38</f>
        <v>0</v>
      </c>
      <c r="I38" s="36">
        <f>REACH!I38+'Community Technical Advisory '!I38+'Renaissance Guild'!I38+CDFI!I38+'MS Loan Fund'!I38+'Site Acceleration Fund'!I38+'Wachovia Grant'!I38+'G&amp;A'!I38</f>
        <v>0</v>
      </c>
      <c r="J38" s="36">
        <f>REACH!J38+'Community Technical Advisory '!J38+'Renaissance Guild'!J38+CDFI!J38+'MS Loan Fund'!J38+'Site Acceleration Fund'!J38+'Wachovia Grant'!J38+'G&amp;A'!J38</f>
        <v>0</v>
      </c>
      <c r="K38" s="36">
        <f>REACH!K38+'Community Technical Advisory '!K38+'Renaissance Guild'!K38+CDFI!K38+'MS Loan Fund'!K38+'Site Acceleration Fund'!K38+'Wachovia Grant'!K38+'G&amp;A'!K38</f>
        <v>0</v>
      </c>
      <c r="L38" s="36">
        <f>REACH!L38+'Community Technical Advisory '!L38+'Renaissance Guild'!L38+CDFI!L38+'MS Loan Fund'!L38+'Site Acceleration Fund'!L38+'Wachovia Grant'!L38+'G&amp;A'!L38</f>
        <v>0</v>
      </c>
      <c r="M38" s="36">
        <f>REACH!M38+'Community Technical Advisory '!M38+'Renaissance Guild'!M38+CDFI!M38+'MS Loan Fund'!M38+'Site Acceleration Fund'!M38+'Wachovia Grant'!M38+'G&amp;A'!M38</f>
        <v>0</v>
      </c>
      <c r="N38" s="36">
        <f>REACH!N38+'Community Technical Advisory '!N38+'Renaissance Guild'!N38+CDFI!N38+'MS Loan Fund'!N38+'Site Acceleration Fund'!N38+'Wachovia Grant'!N38+'G&amp;A'!N38</f>
        <v>0</v>
      </c>
      <c r="O38" s="1">
        <v>52395</v>
      </c>
      <c r="P38" s="3" t="s">
        <v>28</v>
      </c>
    </row>
    <row r="39" spans="1:17" ht="15.75" customHeight="1" x14ac:dyDescent="0.25">
      <c r="A39" t="s">
        <v>29</v>
      </c>
      <c r="B39" s="34">
        <f>SUM(C39:N39)</f>
        <v>212471.03999999992</v>
      </c>
      <c r="C39" s="36">
        <f>REACH!C39+'Community Technical Advisory '!C39+'Renaissance Guild'!C39+CDFI!C39+'MS Loan Fund'!C39+'Site Acceleration Fund'!C39+'Wachovia Grant'!C39+'G&amp;A'!C39</f>
        <v>15113.42</v>
      </c>
      <c r="D39" s="36">
        <f>REACH!D39+'Community Technical Advisory '!D39+'Renaissance Guild'!D39+CDFI!D39+'MS Loan Fund'!D39+'Site Acceleration Fund'!D39+'Wachovia Grant'!D39+'G&amp;A'!D39</f>
        <v>15113.42</v>
      </c>
      <c r="E39" s="36">
        <f>REACH!E39+'Community Technical Advisory '!E39+'Renaissance Guild'!E39+CDFI!E39+'MS Loan Fund'!E39+'Site Acceleration Fund'!E39+'Wachovia Grant'!E39+'G&amp;A'!E39</f>
        <v>15113.42</v>
      </c>
      <c r="F39" s="36">
        <f>REACH!F39+'Community Technical Advisory '!F39+'Renaissance Guild'!F39+CDFI!F39+'MS Loan Fund'!F39+'Site Acceleration Fund'!F39+'Wachovia Grant'!F39+'G&amp;A'!F39</f>
        <v>21313.42</v>
      </c>
      <c r="G39" s="36">
        <f>REACH!G39+'Community Technical Advisory '!G39+'Renaissance Guild'!G39+CDFI!G39+'MS Loan Fund'!G39+'Site Acceleration Fund'!G39+'Wachovia Grant'!G39+'G&amp;A'!G39</f>
        <v>18113.419999999998</v>
      </c>
      <c r="H39" s="36">
        <f>REACH!H39+'Community Technical Advisory '!H39+'Renaissance Guild'!H39+CDFI!H39+'MS Loan Fund'!H39+'Site Acceleration Fund'!H39+'Wachovia Grant'!H39+'G&amp;A'!H39</f>
        <v>18243.419999999998</v>
      </c>
      <c r="I39" s="36">
        <f>REACH!I39+'Community Technical Advisory '!I39+'Renaissance Guild'!I39+CDFI!I39+'MS Loan Fund'!I39+'Site Acceleration Fund'!I39+'Wachovia Grant'!I39+'G&amp;A'!I39</f>
        <v>18243.419999999998</v>
      </c>
      <c r="J39" s="36">
        <f>REACH!J39+'Community Technical Advisory '!J39+'Renaissance Guild'!J39+CDFI!J39+'MS Loan Fund'!J39+'Site Acceleration Fund'!J39+'Wachovia Grant'!J39+'G&amp;A'!J39</f>
        <v>18243.419999999998</v>
      </c>
      <c r="K39" s="36">
        <f>REACH!K39+'Community Technical Advisory '!K39+'Renaissance Guild'!K39+CDFI!K39+'MS Loan Fund'!K39+'Site Acceleration Fund'!K39+'Wachovia Grant'!K39+'G&amp;A'!K39</f>
        <v>18243.419999999998</v>
      </c>
      <c r="L39" s="36">
        <f>REACH!L39+'Community Technical Advisory '!L39+'Renaissance Guild'!L39+CDFI!L39+'MS Loan Fund'!L39+'Site Acceleration Fund'!L39+'Wachovia Grant'!L39+'G&amp;A'!L39</f>
        <v>18243.419999999998</v>
      </c>
      <c r="M39" s="36">
        <f>REACH!M39+'Community Technical Advisory '!M39+'Renaissance Guild'!M39+CDFI!M39+'MS Loan Fund'!M39+'Site Acceleration Fund'!M39+'Wachovia Grant'!M39+'G&amp;A'!M39</f>
        <v>18243.419999999998</v>
      </c>
      <c r="N39" s="36">
        <f>REACH!N39+'Community Technical Advisory '!N39+'Renaissance Guild'!N39+CDFI!N39+'MS Loan Fund'!N39+'Site Acceleration Fund'!N39+'Wachovia Grant'!N39+'G&amp;A'!N39</f>
        <v>18243.419999999998</v>
      </c>
      <c r="O39" s="19">
        <v>150000</v>
      </c>
      <c r="P39" s="3" t="s">
        <v>30</v>
      </c>
    </row>
    <row r="40" spans="1:17" ht="15.75" customHeight="1" x14ac:dyDescent="0.25">
      <c r="A40" t="s">
        <v>31</v>
      </c>
      <c r="B40" s="1">
        <f>SUM(B35:B39)</f>
        <v>980873.45666666667</v>
      </c>
      <c r="C40" s="40">
        <f>SUM(C35:C39)</f>
        <v>78269.67</v>
      </c>
      <c r="D40" s="40">
        <f t="shared" ref="D40:N40" si="4">SUM(D35:D39)</f>
        <v>78269.67</v>
      </c>
      <c r="E40" s="40">
        <f t="shared" si="4"/>
        <v>78269.67</v>
      </c>
      <c r="F40" s="40">
        <f t="shared" si="4"/>
        <v>84469.67</v>
      </c>
      <c r="G40" s="40">
        <f t="shared" si="4"/>
        <v>81269.67</v>
      </c>
      <c r="H40" s="40">
        <f t="shared" si="4"/>
        <v>82903.58666666667</v>
      </c>
      <c r="I40" s="40">
        <f t="shared" si="4"/>
        <v>82903.58666666667</v>
      </c>
      <c r="J40" s="40">
        <f t="shared" si="4"/>
        <v>82903.58666666667</v>
      </c>
      <c r="K40" s="40">
        <f t="shared" si="4"/>
        <v>82903.58666666667</v>
      </c>
      <c r="L40" s="40">
        <f t="shared" si="4"/>
        <v>82903.58666666667</v>
      </c>
      <c r="M40" s="40">
        <f t="shared" si="4"/>
        <v>82903.58666666667</v>
      </c>
      <c r="N40" s="40">
        <f t="shared" si="4"/>
        <v>82903.58666666667</v>
      </c>
      <c r="O40" s="37">
        <v>866332.5</v>
      </c>
    </row>
    <row r="41" spans="1:17" ht="15.75" customHeight="1" x14ac:dyDescent="0.25">
      <c r="B41" s="1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">
        <v>0</v>
      </c>
    </row>
    <row r="42" spans="1:17" ht="15.75" customHeight="1" x14ac:dyDescent="0.25">
      <c r="A42" t="s">
        <v>32</v>
      </c>
      <c r="B42" s="1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">
        <v>0</v>
      </c>
    </row>
    <row r="43" spans="1:17" ht="15.75" customHeight="1" x14ac:dyDescent="0.25">
      <c r="A43" t="s">
        <v>33</v>
      </c>
      <c r="B43" s="1">
        <f>SUM(C43:N43)</f>
        <v>26232</v>
      </c>
      <c r="C43" s="17">
        <f>REACH!C43+'Community Technical Advisory '!C43+'Renaissance Guild'!C43+CDFI!C43+'MS Loan Fund'!C43+'Site Acceleration Fund'!C43+'Wachovia Grant'!C43+'G&amp;A'!C43</f>
        <v>2186</v>
      </c>
      <c r="D43" s="17">
        <f>REACH!D43+'Community Technical Advisory '!D43+'Renaissance Guild'!D43+CDFI!D43+'MS Loan Fund'!D43+'Site Acceleration Fund'!D43+'Wachovia Grant'!D43+'G&amp;A'!D43</f>
        <v>2186</v>
      </c>
      <c r="E43" s="17">
        <f>REACH!E43+'Community Technical Advisory '!E43+'Renaissance Guild'!E43+CDFI!E43+'MS Loan Fund'!E43+'Site Acceleration Fund'!E43+'Wachovia Grant'!E43+'G&amp;A'!E43</f>
        <v>2186</v>
      </c>
      <c r="F43" s="17">
        <f>REACH!F43+'Community Technical Advisory '!F43+'Renaissance Guild'!F43+CDFI!F43+'MS Loan Fund'!F43+'Site Acceleration Fund'!F43+'Wachovia Grant'!F43+'G&amp;A'!F43</f>
        <v>2186</v>
      </c>
      <c r="G43" s="17">
        <f>REACH!G43+'Community Technical Advisory '!G43+'Renaissance Guild'!G43+CDFI!G43+'MS Loan Fund'!G43+'Site Acceleration Fund'!G43+'Wachovia Grant'!G43+'G&amp;A'!G43</f>
        <v>2186</v>
      </c>
      <c r="H43" s="17">
        <f>REACH!H43+'Community Technical Advisory '!H43+'Renaissance Guild'!H43+CDFI!H43+'MS Loan Fund'!H43+'Site Acceleration Fund'!H43+'Wachovia Grant'!H43+'G&amp;A'!H43</f>
        <v>2186</v>
      </c>
      <c r="I43" s="17">
        <f>REACH!I43+'Community Technical Advisory '!I43+'Renaissance Guild'!I43+CDFI!I43+'MS Loan Fund'!I43+'Site Acceleration Fund'!I43+'Wachovia Grant'!I43+'G&amp;A'!I43</f>
        <v>2186</v>
      </c>
      <c r="J43" s="17">
        <f>REACH!J43+'Community Technical Advisory '!J43+'Renaissance Guild'!J43+CDFI!J43+'MS Loan Fund'!J43+'Site Acceleration Fund'!J43+'Wachovia Grant'!J43+'G&amp;A'!J43</f>
        <v>2186</v>
      </c>
      <c r="K43" s="17">
        <f>REACH!K43+'Community Technical Advisory '!K43+'Renaissance Guild'!K43+CDFI!K43+'MS Loan Fund'!K43+'Site Acceleration Fund'!K43+'Wachovia Grant'!K43+'G&amp;A'!K43</f>
        <v>2186</v>
      </c>
      <c r="L43" s="17">
        <f>REACH!L43+'Community Technical Advisory '!L43+'Renaissance Guild'!L43+CDFI!L43+'MS Loan Fund'!L43+'Site Acceleration Fund'!L43+'Wachovia Grant'!L43+'G&amp;A'!L43</f>
        <v>2186</v>
      </c>
      <c r="M43" s="17">
        <f>REACH!M43+'Community Technical Advisory '!M43+'Renaissance Guild'!M43+CDFI!M43+'MS Loan Fund'!M43+'Site Acceleration Fund'!M43+'Wachovia Grant'!M43+'G&amp;A'!M43</f>
        <v>2186</v>
      </c>
      <c r="N43" s="17">
        <f>REACH!N43+'Community Technical Advisory '!N43+'Renaissance Guild'!N43+CDFI!N43+'MS Loan Fund'!N43+'Site Acceleration Fund'!N43+'Wachovia Grant'!N43+'G&amp;A'!N43</f>
        <v>2186</v>
      </c>
      <c r="O43" s="1">
        <v>9000</v>
      </c>
      <c r="P43" s="3" t="s">
        <v>34</v>
      </c>
      <c r="Q43" t="s">
        <v>1</v>
      </c>
    </row>
    <row r="44" spans="1:17" ht="15.75" customHeight="1" x14ac:dyDescent="0.25">
      <c r="A44" t="s">
        <v>35</v>
      </c>
      <c r="B44" s="1">
        <f t="shared" ref="B44:B58" si="5">SUM(C44:N44)</f>
        <v>6105</v>
      </c>
      <c r="C44" s="17">
        <f>REACH!C44+'Community Technical Advisory '!C44+'Renaissance Guild'!C44+CDFI!C44+'MS Loan Fund'!C44+'Site Acceleration Fund'!C44+'Wachovia Grant'!C44+'G&amp;A'!C44</f>
        <v>500</v>
      </c>
      <c r="D44" s="17">
        <f>REACH!D44+'Community Technical Advisory '!D44+'Renaissance Guild'!D44+CDFI!D44+'MS Loan Fund'!D44+'Site Acceleration Fund'!D44+'Wachovia Grant'!D44+'G&amp;A'!D44</f>
        <v>500</v>
      </c>
      <c r="E44" s="17">
        <f>REACH!E44+'Community Technical Advisory '!E44+'Renaissance Guild'!E44+CDFI!E44+'MS Loan Fund'!E44+'Site Acceleration Fund'!E44+'Wachovia Grant'!E44+'G&amp;A'!E44</f>
        <v>500</v>
      </c>
      <c r="F44" s="17">
        <f>REACH!F44+'Community Technical Advisory '!F44+'Renaissance Guild'!F44+CDFI!F44+'MS Loan Fund'!F44+'Site Acceleration Fund'!F44+'Wachovia Grant'!F44+'G&amp;A'!F44</f>
        <v>500</v>
      </c>
      <c r="G44" s="17">
        <f>REACH!G44+'Community Technical Advisory '!G44+'Renaissance Guild'!G44+CDFI!G44+'MS Loan Fund'!G44+'Site Acceleration Fund'!G44+'Wachovia Grant'!G44+'G&amp;A'!G44</f>
        <v>500</v>
      </c>
      <c r="H44" s="17">
        <f>REACH!H44+'Community Technical Advisory '!H44+'Renaissance Guild'!H44+CDFI!H44+'MS Loan Fund'!H44+'Site Acceleration Fund'!H44+'Wachovia Grant'!H44+'G&amp;A'!H44</f>
        <v>515</v>
      </c>
      <c r="I44" s="17">
        <f>REACH!I44+'Community Technical Advisory '!I44+'Renaissance Guild'!I44+CDFI!I44+'MS Loan Fund'!I44+'Site Acceleration Fund'!I44+'Wachovia Grant'!I44+'G&amp;A'!I44</f>
        <v>515</v>
      </c>
      <c r="J44" s="17">
        <f>REACH!J44+'Community Technical Advisory '!J44+'Renaissance Guild'!J44+CDFI!J44+'MS Loan Fund'!J44+'Site Acceleration Fund'!J44+'Wachovia Grant'!J44+'G&amp;A'!J44</f>
        <v>515</v>
      </c>
      <c r="K44" s="17">
        <f>REACH!K44+'Community Technical Advisory '!K44+'Renaissance Guild'!K44+CDFI!K44+'MS Loan Fund'!K44+'Site Acceleration Fund'!K44+'Wachovia Grant'!K44+'G&amp;A'!K44</f>
        <v>515</v>
      </c>
      <c r="L44" s="17">
        <f>REACH!L44+'Community Technical Advisory '!L44+'Renaissance Guild'!L44+CDFI!L44+'MS Loan Fund'!L44+'Site Acceleration Fund'!L44+'Wachovia Grant'!L44+'G&amp;A'!L44</f>
        <v>515</v>
      </c>
      <c r="M44" s="17">
        <f>REACH!M44+'Community Technical Advisory '!M44+'Renaissance Guild'!M44+CDFI!M44+'MS Loan Fund'!M44+'Site Acceleration Fund'!M44+'Wachovia Grant'!M44+'G&amp;A'!M44</f>
        <v>515</v>
      </c>
      <c r="N44" s="17">
        <f>REACH!N44+'Community Technical Advisory '!N44+'Renaissance Guild'!N44+CDFI!N44+'MS Loan Fund'!N44+'Site Acceleration Fund'!N44+'Wachovia Grant'!N44+'G&amp;A'!N44</f>
        <v>515</v>
      </c>
      <c r="O44" s="1">
        <v>4800</v>
      </c>
      <c r="P44" s="3" t="s">
        <v>36</v>
      </c>
    </row>
    <row r="45" spans="1:17" ht="15.75" customHeight="1" x14ac:dyDescent="0.25">
      <c r="A45" t="s">
        <v>37</v>
      </c>
      <c r="B45" s="1">
        <f t="shared" si="5"/>
        <v>5359</v>
      </c>
      <c r="C45" s="17">
        <f>REACH!C45+'Community Technical Advisory '!C45+'Renaissance Guild'!C45+CDFI!C45+'MS Loan Fund'!C45+'Site Acceleration Fund'!C45+'Wachovia Grant'!C45+'G&amp;A'!C45</f>
        <v>439</v>
      </c>
      <c r="D45" s="17">
        <f>REACH!D45+'Community Technical Advisory '!D45+'Renaissance Guild'!D45+CDFI!D45+'MS Loan Fund'!D45+'Site Acceleration Fund'!D45+'Wachovia Grant'!D45+'G&amp;A'!D45</f>
        <v>439</v>
      </c>
      <c r="E45" s="17">
        <f>REACH!E45+'Community Technical Advisory '!E45+'Renaissance Guild'!E45+CDFI!E45+'MS Loan Fund'!E45+'Site Acceleration Fund'!E45+'Wachovia Grant'!E45+'G&amp;A'!E45</f>
        <v>439</v>
      </c>
      <c r="F45" s="17">
        <f>REACH!F45+'Community Technical Advisory '!F45+'Renaissance Guild'!F45+CDFI!F45+'MS Loan Fund'!F45+'Site Acceleration Fund'!F45+'Wachovia Grant'!F45+'G&amp;A'!F45</f>
        <v>439</v>
      </c>
      <c r="G45" s="17">
        <f>REACH!G45+'Community Technical Advisory '!G45+'Renaissance Guild'!G45+CDFI!G45+'MS Loan Fund'!G45+'Site Acceleration Fund'!G45+'Wachovia Grant'!G45+'G&amp;A'!G45</f>
        <v>439</v>
      </c>
      <c r="H45" s="17">
        <f>REACH!H45+'Community Technical Advisory '!H45+'Renaissance Guild'!H45+CDFI!H45+'MS Loan Fund'!H45+'Site Acceleration Fund'!H45+'Wachovia Grant'!H45+'G&amp;A'!H45</f>
        <v>452</v>
      </c>
      <c r="I45" s="17">
        <f>REACH!I45+'Community Technical Advisory '!I45+'Renaissance Guild'!I45+CDFI!I45+'MS Loan Fund'!I45+'Site Acceleration Fund'!I45+'Wachovia Grant'!I45+'G&amp;A'!I45</f>
        <v>452</v>
      </c>
      <c r="J45" s="17">
        <f>REACH!J45+'Community Technical Advisory '!J45+'Renaissance Guild'!J45+CDFI!J45+'MS Loan Fund'!J45+'Site Acceleration Fund'!J45+'Wachovia Grant'!J45+'G&amp;A'!J45</f>
        <v>452</v>
      </c>
      <c r="K45" s="17">
        <f>REACH!K45+'Community Technical Advisory '!K45+'Renaissance Guild'!K45+CDFI!K45+'MS Loan Fund'!K45+'Site Acceleration Fund'!K45+'Wachovia Grant'!K45+'G&amp;A'!K45</f>
        <v>452</v>
      </c>
      <c r="L45" s="17">
        <f>REACH!L45+'Community Technical Advisory '!L45+'Renaissance Guild'!L45+CDFI!L45+'MS Loan Fund'!L45+'Site Acceleration Fund'!L45+'Wachovia Grant'!L45+'G&amp;A'!L45</f>
        <v>452</v>
      </c>
      <c r="M45" s="17">
        <f>REACH!M45+'Community Technical Advisory '!M45+'Renaissance Guild'!M45+CDFI!M45+'MS Loan Fund'!M45+'Site Acceleration Fund'!M45+'Wachovia Grant'!M45+'G&amp;A'!M45</f>
        <v>452</v>
      </c>
      <c r="N45" s="17">
        <f>REACH!N45+'Community Technical Advisory '!N45+'Renaissance Guild'!N45+CDFI!N45+'MS Loan Fund'!N45+'Site Acceleration Fund'!N45+'Wachovia Grant'!N45+'G&amp;A'!N45</f>
        <v>452</v>
      </c>
      <c r="O45" s="1">
        <v>7500</v>
      </c>
      <c r="P45" s="3" t="s">
        <v>38</v>
      </c>
    </row>
    <row r="46" spans="1:17" ht="15.75" customHeight="1" x14ac:dyDescent="0.25">
      <c r="A46" t="s">
        <v>39</v>
      </c>
      <c r="B46" s="1">
        <f t="shared" si="5"/>
        <v>28527</v>
      </c>
      <c r="C46" s="17">
        <f>REACH!C46+'Community Technical Advisory '!C46+'Renaissance Guild'!C46+CDFI!C46+'MS Loan Fund'!C46+'Site Acceleration Fund'!C46+'Wachovia Grant'!C46+'G&amp;A'!C46</f>
        <v>2337</v>
      </c>
      <c r="D46" s="17">
        <f>REACH!D46+'Community Technical Advisory '!D46+'Renaissance Guild'!D46+CDFI!D46+'MS Loan Fund'!D46+'Site Acceleration Fund'!D46+'Wachovia Grant'!D46+'G&amp;A'!D46</f>
        <v>2337</v>
      </c>
      <c r="E46" s="17">
        <f>REACH!E46+'Community Technical Advisory '!E46+'Renaissance Guild'!E46+CDFI!E46+'MS Loan Fund'!E46+'Site Acceleration Fund'!E46+'Wachovia Grant'!E46+'G&amp;A'!E46</f>
        <v>2337</v>
      </c>
      <c r="F46" s="17">
        <f>REACH!F46+'Community Technical Advisory '!F46+'Renaissance Guild'!F46+CDFI!F46+'MS Loan Fund'!F46+'Site Acceleration Fund'!F46+'Wachovia Grant'!F46+'G&amp;A'!F46</f>
        <v>2337</v>
      </c>
      <c r="G46" s="17">
        <f>REACH!G46+'Community Technical Advisory '!G46+'Renaissance Guild'!G46+CDFI!G46+'MS Loan Fund'!G46+'Site Acceleration Fund'!G46+'Wachovia Grant'!G46+'G&amp;A'!G46</f>
        <v>2337</v>
      </c>
      <c r="H46" s="17">
        <f>REACH!H46+'Community Technical Advisory '!H46+'Renaissance Guild'!H46+CDFI!H46+'MS Loan Fund'!H46+'Site Acceleration Fund'!H46+'Wachovia Grant'!H46+'G&amp;A'!H46</f>
        <v>2406</v>
      </c>
      <c r="I46" s="17">
        <f>REACH!I46+'Community Technical Advisory '!I46+'Renaissance Guild'!I46+CDFI!I46+'MS Loan Fund'!I46+'Site Acceleration Fund'!I46+'Wachovia Grant'!I46+'G&amp;A'!I46</f>
        <v>2406</v>
      </c>
      <c r="J46" s="17">
        <f>REACH!J46+'Community Technical Advisory '!J46+'Renaissance Guild'!J46+CDFI!J46+'MS Loan Fund'!J46+'Site Acceleration Fund'!J46+'Wachovia Grant'!J46+'G&amp;A'!J46</f>
        <v>2406</v>
      </c>
      <c r="K46" s="17">
        <f>REACH!K46+'Community Technical Advisory '!K46+'Renaissance Guild'!K46+CDFI!K46+'MS Loan Fund'!K46+'Site Acceleration Fund'!K46+'Wachovia Grant'!K46+'G&amp;A'!K46</f>
        <v>2406</v>
      </c>
      <c r="L46" s="17">
        <f>REACH!L46+'Community Technical Advisory '!L46+'Renaissance Guild'!L46+CDFI!L46+'MS Loan Fund'!L46+'Site Acceleration Fund'!L46+'Wachovia Grant'!L46+'G&amp;A'!L46</f>
        <v>2406</v>
      </c>
      <c r="M46" s="17">
        <f>REACH!M46+'Community Technical Advisory '!M46+'Renaissance Guild'!M46+CDFI!M46+'MS Loan Fund'!M46+'Site Acceleration Fund'!M46+'Wachovia Grant'!M46+'G&amp;A'!M46</f>
        <v>2406</v>
      </c>
      <c r="N46" s="17">
        <f>REACH!N46+'Community Technical Advisory '!N46+'Renaissance Guild'!N46+CDFI!N46+'MS Loan Fund'!N46+'Site Acceleration Fund'!N46+'Wachovia Grant'!N46+'G&amp;A'!N46</f>
        <v>2406</v>
      </c>
      <c r="O46" s="1">
        <v>5400</v>
      </c>
      <c r="P46" s="3" t="s">
        <v>40</v>
      </c>
      <c r="Q46" t="s">
        <v>1</v>
      </c>
    </row>
    <row r="47" spans="1:17" ht="15.75" customHeight="1" x14ac:dyDescent="0.25">
      <c r="A47" t="s">
        <v>41</v>
      </c>
      <c r="B47" s="1">
        <f t="shared" si="5"/>
        <v>9716</v>
      </c>
      <c r="C47" s="17">
        <f>REACH!C47+'Community Technical Advisory '!C47+'Renaissance Guild'!C47+CDFI!C47+'MS Loan Fund'!C47+'Site Acceleration Fund'!C47+'Wachovia Grant'!C47+'G&amp;A'!C47</f>
        <v>700</v>
      </c>
      <c r="D47" s="17">
        <f>REACH!D47+'Community Technical Advisory '!D47+'Renaissance Guild'!D47+CDFI!D47+'MS Loan Fund'!D47+'Site Acceleration Fund'!D47+'Wachovia Grant'!D47+'G&amp;A'!D47</f>
        <v>700</v>
      </c>
      <c r="E47" s="17">
        <f>REACH!E47+'Community Technical Advisory '!E47+'Renaissance Guild'!E47+CDFI!E47+'MS Loan Fund'!E47+'Site Acceleration Fund'!E47+'Wachovia Grant'!E47+'G&amp;A'!E47</f>
        <v>700</v>
      </c>
      <c r="F47" s="17">
        <f>REACH!F47+'Community Technical Advisory '!F47+'Renaissance Guild'!F47+CDFI!F47+'MS Loan Fund'!F47+'Site Acceleration Fund'!F47+'Wachovia Grant'!F47+'G&amp;A'!F47</f>
        <v>700</v>
      </c>
      <c r="G47" s="17">
        <f>REACH!G47+'Community Technical Advisory '!G47+'Renaissance Guild'!G47+CDFI!G47+'MS Loan Fund'!G47+'Site Acceleration Fund'!G47+'Wachovia Grant'!G47+'G&amp;A'!G47</f>
        <v>700</v>
      </c>
      <c r="H47" s="17">
        <f>REACH!H47+'Community Technical Advisory '!H47+'Renaissance Guild'!H47+CDFI!H47+'MS Loan Fund'!H47+'Site Acceleration Fund'!H47+'Wachovia Grant'!H47+'G&amp;A'!H47</f>
        <v>888</v>
      </c>
      <c r="I47" s="17">
        <f>REACH!I47+'Community Technical Advisory '!I47+'Renaissance Guild'!I47+CDFI!I47+'MS Loan Fund'!I47+'Site Acceleration Fund'!I47+'Wachovia Grant'!I47+'G&amp;A'!I47</f>
        <v>888</v>
      </c>
      <c r="J47" s="17">
        <f>REACH!J47+'Community Technical Advisory '!J47+'Renaissance Guild'!J47+CDFI!J47+'MS Loan Fund'!J47+'Site Acceleration Fund'!J47+'Wachovia Grant'!J47+'G&amp;A'!J47</f>
        <v>888</v>
      </c>
      <c r="K47" s="17">
        <f>REACH!K47+'Community Technical Advisory '!K47+'Renaissance Guild'!K47+CDFI!K47+'MS Loan Fund'!K47+'Site Acceleration Fund'!K47+'Wachovia Grant'!K47+'G&amp;A'!K47</f>
        <v>888</v>
      </c>
      <c r="L47" s="17">
        <f>REACH!L47+'Community Technical Advisory '!L47+'Renaissance Guild'!L47+CDFI!L47+'MS Loan Fund'!L47+'Site Acceleration Fund'!L47+'Wachovia Grant'!L47+'G&amp;A'!L47</f>
        <v>888</v>
      </c>
      <c r="M47" s="17">
        <f>REACH!M47+'Community Technical Advisory '!M47+'Renaissance Guild'!M47+CDFI!M47+'MS Loan Fund'!M47+'Site Acceleration Fund'!M47+'Wachovia Grant'!M47+'G&amp;A'!M47</f>
        <v>888</v>
      </c>
      <c r="N47" s="17">
        <f>REACH!N47+'Community Technical Advisory '!N47+'Renaissance Guild'!N47+CDFI!N47+'MS Loan Fund'!N47+'Site Acceleration Fund'!N47+'Wachovia Grant'!N47+'G&amp;A'!N47</f>
        <v>888</v>
      </c>
      <c r="O47" s="1">
        <v>600</v>
      </c>
      <c r="P47" s="3" t="s">
        <v>42</v>
      </c>
    </row>
    <row r="48" spans="1:17" ht="15.75" customHeight="1" x14ac:dyDescent="0.25">
      <c r="A48" t="s">
        <v>81</v>
      </c>
      <c r="B48" s="1">
        <f t="shared" si="5"/>
        <v>15599</v>
      </c>
      <c r="C48" s="17">
        <f>REACH!C48+'Community Technical Advisory '!C48+'Renaissance Guild'!C48+CDFI!C48+'MS Loan Fund'!C48+'Site Acceleration Fund'!C48+'Wachovia Grant'!C48+'G&amp;A'!C48</f>
        <v>800</v>
      </c>
      <c r="D48" s="17">
        <f>REACH!D48+'Community Technical Advisory '!D48+'Renaissance Guild'!D48+CDFI!D48+'MS Loan Fund'!D48+'Site Acceleration Fund'!D48+'Wachovia Grant'!D48+'G&amp;A'!D48</f>
        <v>800</v>
      </c>
      <c r="E48" s="17">
        <f>REACH!E48+'Community Technical Advisory '!E48+'Renaissance Guild'!E48+CDFI!E48+'MS Loan Fund'!E48+'Site Acceleration Fund'!E48+'Wachovia Grant'!E48+'G&amp;A'!E48</f>
        <v>800</v>
      </c>
      <c r="F48" s="17">
        <f>REACH!F48+'Community Technical Advisory '!F48+'Renaissance Guild'!F48+CDFI!F48+'MS Loan Fund'!F48+'Site Acceleration Fund'!F48+'Wachovia Grant'!F48+'G&amp;A'!F48</f>
        <v>800</v>
      </c>
      <c r="G48" s="17">
        <f>REACH!G48+'Community Technical Advisory '!G48+'Renaissance Guild'!G48+CDFI!G48+'MS Loan Fund'!G48+'Site Acceleration Fund'!G48+'Wachovia Grant'!G48+'G&amp;A'!G48</f>
        <v>800</v>
      </c>
      <c r="H48" s="17">
        <f>REACH!H48+'Community Technical Advisory '!H48+'Renaissance Guild'!H48+CDFI!H48+'MS Loan Fund'!H48+'Site Acceleration Fund'!H48+'Wachovia Grant'!H48+'G&amp;A'!H48</f>
        <v>1657</v>
      </c>
      <c r="I48" s="17">
        <f>REACH!I48+'Community Technical Advisory '!I48+'Renaissance Guild'!I48+CDFI!I48+'MS Loan Fund'!I48+'Site Acceleration Fund'!I48+'Wachovia Grant'!I48+'G&amp;A'!I48</f>
        <v>1657</v>
      </c>
      <c r="J48" s="17">
        <f>REACH!J48+'Community Technical Advisory '!J48+'Renaissance Guild'!J48+CDFI!J48+'MS Loan Fund'!J48+'Site Acceleration Fund'!J48+'Wachovia Grant'!J48+'G&amp;A'!J48</f>
        <v>1657</v>
      </c>
      <c r="K48" s="17">
        <f>REACH!K48+'Community Technical Advisory '!K48+'Renaissance Guild'!K48+CDFI!K48+'MS Loan Fund'!K48+'Site Acceleration Fund'!K48+'Wachovia Grant'!K48+'G&amp;A'!K48</f>
        <v>1657</v>
      </c>
      <c r="L48" s="17">
        <f>REACH!L48+'Community Technical Advisory '!L48+'Renaissance Guild'!L48+CDFI!L48+'MS Loan Fund'!L48+'Site Acceleration Fund'!L48+'Wachovia Grant'!L48+'G&amp;A'!L48</f>
        <v>1657</v>
      </c>
      <c r="M48" s="17">
        <f>REACH!M48+'Community Technical Advisory '!M48+'Renaissance Guild'!M48+CDFI!M48+'MS Loan Fund'!M48+'Site Acceleration Fund'!M48+'Wachovia Grant'!M48+'G&amp;A'!M48</f>
        <v>1657</v>
      </c>
      <c r="N48" s="17">
        <f>REACH!N48+'Community Technical Advisory '!N48+'Renaissance Guild'!N48+CDFI!N48+'MS Loan Fund'!N48+'Site Acceleration Fund'!N48+'Wachovia Grant'!N48+'G&amp;A'!N48</f>
        <v>1657</v>
      </c>
      <c r="O48" s="1">
        <v>7200</v>
      </c>
      <c r="P48" s="3" t="s">
        <v>44</v>
      </c>
    </row>
    <row r="49" spans="1:17" ht="15.75" customHeight="1" x14ac:dyDescent="0.25">
      <c r="A49" t="s">
        <v>45</v>
      </c>
      <c r="B49" s="1">
        <f t="shared" si="5"/>
        <v>150794</v>
      </c>
      <c r="C49" s="17">
        <f>REACH!C49+'Community Technical Advisory '!C49+'Renaissance Guild'!C49+CDFI!C49+'MS Loan Fund'!C49+'Site Acceleration Fund'!C49+'Wachovia Grant'!C49+'G&amp;A'!C49</f>
        <v>12376</v>
      </c>
      <c r="D49" s="17">
        <f>REACH!D49+'Community Technical Advisory '!D49+'Renaissance Guild'!D49+CDFI!D49+'MS Loan Fund'!D49+'Site Acceleration Fund'!D49+'Wachovia Grant'!D49+'G&amp;A'!D49</f>
        <v>12376</v>
      </c>
      <c r="E49" s="17">
        <f>REACH!E49+'Community Technical Advisory '!E49+'Renaissance Guild'!E49+CDFI!E49+'MS Loan Fund'!E49+'Site Acceleration Fund'!E49+'Wachovia Grant'!E49+'G&amp;A'!E49</f>
        <v>12376</v>
      </c>
      <c r="F49" s="17">
        <f>REACH!F49+'Community Technical Advisory '!F49+'Renaissance Guild'!F49+CDFI!F49+'MS Loan Fund'!F49+'Site Acceleration Fund'!F49+'Wachovia Grant'!F49+'G&amp;A'!F49</f>
        <v>12376</v>
      </c>
      <c r="G49" s="17">
        <f>REACH!G49+'Community Technical Advisory '!G49+'Renaissance Guild'!G49+CDFI!G49+'MS Loan Fund'!G49+'Site Acceleration Fund'!G49+'Wachovia Grant'!G49+'G&amp;A'!G49</f>
        <v>12376</v>
      </c>
      <c r="H49" s="17">
        <f>REACH!H49+'Community Technical Advisory '!H49+'Renaissance Guild'!H49+CDFI!H49+'MS Loan Fund'!H49+'Site Acceleration Fund'!H49+'Wachovia Grant'!H49+'G&amp;A'!H49</f>
        <v>12702</v>
      </c>
      <c r="I49" s="17">
        <f>REACH!I49+'Community Technical Advisory '!I49+'Renaissance Guild'!I49+CDFI!I49+'MS Loan Fund'!I49+'Site Acceleration Fund'!I49+'Wachovia Grant'!I49+'G&amp;A'!I49</f>
        <v>12702</v>
      </c>
      <c r="J49" s="17">
        <f>REACH!J49+'Community Technical Advisory '!J49+'Renaissance Guild'!J49+CDFI!J49+'MS Loan Fund'!J49+'Site Acceleration Fund'!J49+'Wachovia Grant'!J49+'G&amp;A'!J49</f>
        <v>12702</v>
      </c>
      <c r="K49" s="17">
        <f>REACH!K49+'Community Technical Advisory '!K49+'Renaissance Guild'!K49+CDFI!K49+'MS Loan Fund'!K49+'Site Acceleration Fund'!K49+'Wachovia Grant'!K49+'G&amp;A'!K49</f>
        <v>12702</v>
      </c>
      <c r="L49" s="17">
        <f>REACH!L49+'Community Technical Advisory '!L49+'Renaissance Guild'!L49+CDFI!L49+'MS Loan Fund'!L49+'Site Acceleration Fund'!L49+'Wachovia Grant'!L49+'G&amp;A'!L49</f>
        <v>12702</v>
      </c>
      <c r="M49" s="17">
        <f>REACH!M49+'Community Technical Advisory '!M49+'Renaissance Guild'!M49+CDFI!M49+'MS Loan Fund'!M49+'Site Acceleration Fund'!M49+'Wachovia Grant'!M49+'G&amp;A'!M49</f>
        <v>12702</v>
      </c>
      <c r="N49" s="17">
        <f>REACH!N49+'Community Technical Advisory '!N49+'Renaissance Guild'!N49+CDFI!N49+'MS Loan Fund'!N49+'Site Acceleration Fund'!N49+'Wachovia Grant'!N49+'G&amp;A'!N49</f>
        <v>12702</v>
      </c>
      <c r="O49" s="1">
        <v>3600</v>
      </c>
      <c r="P49" s="3" t="s">
        <v>82</v>
      </c>
    </row>
    <row r="50" spans="1:17" ht="15.75" customHeight="1" x14ac:dyDescent="0.25">
      <c r="A50" t="s">
        <v>46</v>
      </c>
      <c r="B50" s="1">
        <f t="shared" si="5"/>
        <v>35051</v>
      </c>
      <c r="C50" s="17">
        <f>REACH!C50+'Community Technical Advisory '!C50+'Renaissance Guild'!C50+CDFI!C50+'MS Loan Fund'!C50+'Site Acceleration Fund'!C50+'Wachovia Grant'!C50+'G&amp;A'!C50</f>
        <v>2000</v>
      </c>
      <c r="D50" s="17">
        <f>REACH!D50+'Community Technical Advisory '!D50+'Renaissance Guild'!D50+CDFI!D50+'MS Loan Fund'!D50+'Site Acceleration Fund'!D50+'Wachovia Grant'!D50+'G&amp;A'!D50</f>
        <v>3200</v>
      </c>
      <c r="E50" s="17">
        <f>REACH!E50+'Community Technical Advisory '!E50+'Renaissance Guild'!E50+CDFI!E50+'MS Loan Fund'!E50+'Site Acceleration Fund'!E50+'Wachovia Grant'!E50+'G&amp;A'!E50</f>
        <v>2000</v>
      </c>
      <c r="F50" s="17">
        <f>REACH!F50+'Community Technical Advisory '!F50+'Renaissance Guild'!F50+CDFI!F50+'MS Loan Fund'!F50+'Site Acceleration Fund'!F50+'Wachovia Grant'!F50+'G&amp;A'!F50</f>
        <v>3200</v>
      </c>
      <c r="G50" s="17">
        <f>REACH!G50+'Community Technical Advisory '!G50+'Renaissance Guild'!G50+CDFI!G50+'MS Loan Fund'!G50+'Site Acceleration Fund'!G50+'Wachovia Grant'!G50+'G&amp;A'!G50</f>
        <v>2000</v>
      </c>
      <c r="H50" s="17">
        <f>REACH!H50+'Community Technical Advisory '!H50+'Renaissance Guild'!H50+CDFI!H50+'MS Loan Fund'!H50+'Site Acceleration Fund'!H50+'Wachovia Grant'!H50+'G&amp;A'!H50</f>
        <v>2893</v>
      </c>
      <c r="I50" s="17">
        <f>REACH!I50+'Community Technical Advisory '!I50+'Renaissance Guild'!I50+CDFI!I50+'MS Loan Fund'!I50+'Site Acceleration Fund'!I50+'Wachovia Grant'!I50+'G&amp;A'!I50</f>
        <v>4093</v>
      </c>
      <c r="J50" s="17">
        <f>REACH!J50+'Community Technical Advisory '!J50+'Renaissance Guild'!J50+CDFI!J50+'MS Loan Fund'!J50+'Site Acceleration Fund'!J50+'Wachovia Grant'!J50+'G&amp;A'!J50</f>
        <v>2893</v>
      </c>
      <c r="K50" s="17">
        <f>REACH!K50+'Community Technical Advisory '!K50+'Renaissance Guild'!K50+CDFI!K50+'MS Loan Fund'!K50+'Site Acceleration Fund'!K50+'Wachovia Grant'!K50+'G&amp;A'!K50</f>
        <v>2893</v>
      </c>
      <c r="L50" s="17">
        <f>REACH!L50+'Community Technical Advisory '!L50+'Renaissance Guild'!L50+CDFI!L50+'MS Loan Fund'!L50+'Site Acceleration Fund'!L50+'Wachovia Grant'!L50+'G&amp;A'!L50</f>
        <v>4093</v>
      </c>
      <c r="M50" s="17">
        <f>REACH!M50+'Community Technical Advisory '!M50+'Renaissance Guild'!M50+CDFI!M50+'MS Loan Fund'!M50+'Site Acceleration Fund'!M50+'Wachovia Grant'!M50+'G&amp;A'!M50</f>
        <v>2893</v>
      </c>
      <c r="N50" s="17">
        <f>REACH!N50+'Community Technical Advisory '!N50+'Renaissance Guild'!N50+CDFI!N50+'MS Loan Fund'!N50+'Site Acceleration Fund'!N50+'Wachovia Grant'!N50+'G&amp;A'!N50</f>
        <v>2893</v>
      </c>
      <c r="O50" s="1">
        <v>9000</v>
      </c>
      <c r="P50" s="3" t="s">
        <v>47</v>
      </c>
    </row>
    <row r="51" spans="1:17" ht="15.75" customHeight="1" x14ac:dyDescent="0.25">
      <c r="A51" t="s">
        <v>48</v>
      </c>
      <c r="B51" s="1">
        <f t="shared" si="5"/>
        <v>986</v>
      </c>
      <c r="C51" s="17">
        <f>REACH!C51+'Community Technical Advisory '!C51+'Renaissance Guild'!C51+CDFI!C51+'MS Loan Fund'!C51+'Site Acceleration Fund'!C51+'Wachovia Grant'!C51+'G&amp;A'!C51</f>
        <v>81</v>
      </c>
      <c r="D51" s="17">
        <f>REACH!D51+'Community Technical Advisory '!D51+'Renaissance Guild'!D51+CDFI!D51+'MS Loan Fund'!D51+'Site Acceleration Fund'!D51+'Wachovia Grant'!D51+'G&amp;A'!D51</f>
        <v>81</v>
      </c>
      <c r="E51" s="17">
        <f>REACH!E51+'Community Technical Advisory '!E51+'Renaissance Guild'!E51+CDFI!E51+'MS Loan Fund'!E51+'Site Acceleration Fund'!E51+'Wachovia Grant'!E51+'G&amp;A'!E51</f>
        <v>81</v>
      </c>
      <c r="F51" s="17">
        <f>REACH!F51+'Community Technical Advisory '!F51+'Renaissance Guild'!F51+CDFI!F51+'MS Loan Fund'!F51+'Site Acceleration Fund'!F51+'Wachovia Grant'!F51+'G&amp;A'!F51</f>
        <v>81</v>
      </c>
      <c r="G51" s="17">
        <f>REACH!G51+'Community Technical Advisory '!G51+'Renaissance Guild'!G51+CDFI!G51+'MS Loan Fund'!G51+'Site Acceleration Fund'!G51+'Wachovia Grant'!G51+'G&amp;A'!G51</f>
        <v>81</v>
      </c>
      <c r="H51" s="17">
        <f>REACH!H51+'Community Technical Advisory '!H51+'Renaissance Guild'!H51+CDFI!H51+'MS Loan Fund'!H51+'Site Acceleration Fund'!H51+'Wachovia Grant'!H51+'G&amp;A'!H51</f>
        <v>83</v>
      </c>
      <c r="I51" s="17">
        <f>REACH!I51+'Community Technical Advisory '!I51+'Renaissance Guild'!I51+CDFI!I51+'MS Loan Fund'!I51+'Site Acceleration Fund'!I51+'Wachovia Grant'!I51+'G&amp;A'!I51</f>
        <v>83</v>
      </c>
      <c r="J51" s="17">
        <f>REACH!J51+'Community Technical Advisory '!J51+'Renaissance Guild'!J51+CDFI!J51+'MS Loan Fund'!J51+'Site Acceleration Fund'!J51+'Wachovia Grant'!J51+'G&amp;A'!J51</f>
        <v>83</v>
      </c>
      <c r="K51" s="17">
        <f>REACH!K51+'Community Technical Advisory '!K51+'Renaissance Guild'!K51+CDFI!K51+'MS Loan Fund'!K51+'Site Acceleration Fund'!K51+'Wachovia Grant'!K51+'G&amp;A'!K51</f>
        <v>83</v>
      </c>
      <c r="L51" s="17">
        <f>REACH!L51+'Community Technical Advisory '!L51+'Renaissance Guild'!L51+CDFI!L51+'MS Loan Fund'!L51+'Site Acceleration Fund'!L51+'Wachovia Grant'!L51+'G&amp;A'!L51</f>
        <v>83</v>
      </c>
      <c r="M51" s="17">
        <f>REACH!M51+'Community Technical Advisory '!M51+'Renaissance Guild'!M51+CDFI!M51+'MS Loan Fund'!M51+'Site Acceleration Fund'!M51+'Wachovia Grant'!M51+'G&amp;A'!M51</f>
        <v>83</v>
      </c>
      <c r="N51" s="17">
        <f>REACH!N51+'Community Technical Advisory '!N51+'Renaissance Guild'!N51+CDFI!N51+'MS Loan Fund'!N51+'Site Acceleration Fund'!N51+'Wachovia Grant'!N51+'G&amp;A'!N51</f>
        <v>83</v>
      </c>
      <c r="O51" s="1">
        <v>6000</v>
      </c>
      <c r="P51" s="3" t="s">
        <v>49</v>
      </c>
    </row>
    <row r="52" spans="1:17" ht="15.75" customHeight="1" x14ac:dyDescent="0.25">
      <c r="A52" t="s">
        <v>50</v>
      </c>
      <c r="B52" s="1">
        <f t="shared" si="5"/>
        <v>21244</v>
      </c>
      <c r="C52" s="17">
        <f>REACH!C52+'Community Technical Advisory '!C52+'Renaissance Guild'!C52+CDFI!C52+'MS Loan Fund'!C52+'Site Acceleration Fund'!C52+'Wachovia Grant'!C52+'G&amp;A'!C52</f>
        <v>1740</v>
      </c>
      <c r="D52" s="17">
        <f>REACH!D52+'Community Technical Advisory '!D52+'Renaissance Guild'!D52+CDFI!D52+'MS Loan Fund'!D52+'Site Acceleration Fund'!D52+'Wachovia Grant'!D52+'G&amp;A'!D52</f>
        <v>1740</v>
      </c>
      <c r="E52" s="17">
        <f>REACH!E52+'Community Technical Advisory '!E52+'Renaissance Guild'!E52+CDFI!E52+'MS Loan Fund'!E52+'Site Acceleration Fund'!E52+'Wachovia Grant'!E52+'G&amp;A'!E52</f>
        <v>1740</v>
      </c>
      <c r="F52" s="17">
        <f>REACH!F52+'Community Technical Advisory '!F52+'Renaissance Guild'!F52+CDFI!F52+'MS Loan Fund'!F52+'Site Acceleration Fund'!F52+'Wachovia Grant'!F52+'G&amp;A'!F52</f>
        <v>1740</v>
      </c>
      <c r="G52" s="17">
        <f>REACH!G52+'Community Technical Advisory '!G52+'Renaissance Guild'!G52+CDFI!G52+'MS Loan Fund'!G52+'Site Acceleration Fund'!G52+'Wachovia Grant'!G52+'G&amp;A'!G52</f>
        <v>1740</v>
      </c>
      <c r="H52" s="17">
        <f>REACH!H52+'Community Technical Advisory '!H52+'Renaissance Guild'!H52+CDFI!H52+'MS Loan Fund'!H52+'Site Acceleration Fund'!H52+'Wachovia Grant'!H52+'G&amp;A'!H52</f>
        <v>1792</v>
      </c>
      <c r="I52" s="17">
        <f>REACH!I52+'Community Technical Advisory '!I52+'Renaissance Guild'!I52+CDFI!I52+'MS Loan Fund'!I52+'Site Acceleration Fund'!I52+'Wachovia Grant'!I52+'G&amp;A'!I52</f>
        <v>1792</v>
      </c>
      <c r="J52" s="17">
        <f>REACH!J52+'Community Technical Advisory '!J52+'Renaissance Guild'!J52+CDFI!J52+'MS Loan Fund'!J52+'Site Acceleration Fund'!J52+'Wachovia Grant'!J52+'G&amp;A'!J52</f>
        <v>1792</v>
      </c>
      <c r="K52" s="17">
        <f>REACH!K52+'Community Technical Advisory '!K52+'Renaissance Guild'!K52+CDFI!K52+'MS Loan Fund'!K52+'Site Acceleration Fund'!K52+'Wachovia Grant'!K52+'G&amp;A'!K52</f>
        <v>1792</v>
      </c>
      <c r="L52" s="17">
        <f>REACH!L52+'Community Technical Advisory '!L52+'Renaissance Guild'!L52+CDFI!L52+'MS Loan Fund'!L52+'Site Acceleration Fund'!L52+'Wachovia Grant'!L52+'G&amp;A'!L52</f>
        <v>1792</v>
      </c>
      <c r="M52" s="17">
        <f>REACH!M52+'Community Technical Advisory '!M52+'Renaissance Guild'!M52+CDFI!M52+'MS Loan Fund'!M52+'Site Acceleration Fund'!M52+'Wachovia Grant'!M52+'G&amp;A'!M52</f>
        <v>1792</v>
      </c>
      <c r="N52" s="17">
        <f>REACH!N52+'Community Technical Advisory '!N52+'Renaissance Guild'!N52+CDFI!N52+'MS Loan Fund'!N52+'Site Acceleration Fund'!N52+'Wachovia Grant'!N52+'G&amp;A'!N52</f>
        <v>1792</v>
      </c>
      <c r="O52" s="1">
        <v>17800.000000000004</v>
      </c>
      <c r="P52" s="3" t="s">
        <v>51</v>
      </c>
      <c r="Q52" t="s">
        <v>1</v>
      </c>
    </row>
    <row r="53" spans="1:17" ht="15.75" customHeight="1" x14ac:dyDescent="0.25">
      <c r="A53" t="s">
        <v>78</v>
      </c>
      <c r="B53" s="1">
        <f t="shared" si="5"/>
        <v>44774</v>
      </c>
      <c r="C53" s="17">
        <f>REACH!C53+'Community Technical Advisory '!C53+'Renaissance Guild'!C53+CDFI!C53+'MS Loan Fund'!C53+'Site Acceleration Fund'!C53+'Wachovia Grant'!C53+'G&amp;A'!C53</f>
        <v>3667</v>
      </c>
      <c r="D53" s="17">
        <f>REACH!D53+'Community Technical Advisory '!D53+'Renaissance Guild'!D53+CDFI!D53+'MS Loan Fund'!D53+'Site Acceleration Fund'!D53+'Wachovia Grant'!D53+'G&amp;A'!D53</f>
        <v>3667</v>
      </c>
      <c r="E53" s="17">
        <f>REACH!E53+'Community Technical Advisory '!E53+'Renaissance Guild'!E53+CDFI!E53+'MS Loan Fund'!E53+'Site Acceleration Fund'!E53+'Wachovia Grant'!E53+'G&amp;A'!E53</f>
        <v>3667</v>
      </c>
      <c r="F53" s="17">
        <f>REACH!F53+'Community Technical Advisory '!F53+'Renaissance Guild'!F53+CDFI!F53+'MS Loan Fund'!F53+'Site Acceleration Fund'!F53+'Wachovia Grant'!F53+'G&amp;A'!F53</f>
        <v>3667</v>
      </c>
      <c r="G53" s="17">
        <f>REACH!G53+'Community Technical Advisory '!G53+'Renaissance Guild'!G53+CDFI!G53+'MS Loan Fund'!G53+'Site Acceleration Fund'!G53+'Wachovia Grant'!G53+'G&amp;A'!G53</f>
        <v>3667</v>
      </c>
      <c r="H53" s="17">
        <f>REACH!H53+'Community Technical Advisory '!H53+'Renaissance Guild'!H53+CDFI!H53+'MS Loan Fund'!H53+'Site Acceleration Fund'!H53+'Wachovia Grant'!H53+'G&amp;A'!H53</f>
        <v>3777</v>
      </c>
      <c r="I53" s="17">
        <f>REACH!I53+'Community Technical Advisory '!I53+'Renaissance Guild'!I53+CDFI!I53+'MS Loan Fund'!I53+'Site Acceleration Fund'!I53+'Wachovia Grant'!I53+'G&amp;A'!I53</f>
        <v>3777</v>
      </c>
      <c r="J53" s="17">
        <f>REACH!J53+'Community Technical Advisory '!J53+'Renaissance Guild'!J53+CDFI!J53+'MS Loan Fund'!J53+'Site Acceleration Fund'!J53+'Wachovia Grant'!J53+'G&amp;A'!J53</f>
        <v>3777</v>
      </c>
      <c r="K53" s="17">
        <f>REACH!K53+'Community Technical Advisory '!K53+'Renaissance Guild'!K53+CDFI!K53+'MS Loan Fund'!K53+'Site Acceleration Fund'!K53+'Wachovia Grant'!K53+'G&amp;A'!K53</f>
        <v>3777</v>
      </c>
      <c r="L53" s="17">
        <f>REACH!L53+'Community Technical Advisory '!L53+'Renaissance Guild'!L53+CDFI!L53+'MS Loan Fund'!L53+'Site Acceleration Fund'!L53+'Wachovia Grant'!L53+'G&amp;A'!L53</f>
        <v>3777</v>
      </c>
      <c r="M53" s="17">
        <f>REACH!M53+'Community Technical Advisory '!M53+'Renaissance Guild'!M53+CDFI!M53+'MS Loan Fund'!M53+'Site Acceleration Fund'!M53+'Wachovia Grant'!M53+'G&amp;A'!M53</f>
        <v>3777</v>
      </c>
      <c r="N53" s="17">
        <f>REACH!N53+'Community Technical Advisory '!N53+'Renaissance Guild'!N53+CDFI!N53+'MS Loan Fund'!N53+'Site Acceleration Fund'!N53+'Wachovia Grant'!N53+'G&amp;A'!N53</f>
        <v>3777</v>
      </c>
      <c r="O53" s="1"/>
      <c r="P53" s="3" t="s">
        <v>53</v>
      </c>
    </row>
    <row r="54" spans="1:17" ht="15.75" customHeight="1" x14ac:dyDescent="0.25">
      <c r="A54" t="s">
        <v>52</v>
      </c>
      <c r="B54" s="1">
        <f t="shared" si="5"/>
        <v>367</v>
      </c>
      <c r="C54" s="17">
        <f>REACH!C54+'Community Technical Advisory '!C54+'Renaissance Guild'!C54+CDFI!C54+'MS Loan Fund'!C54+'Site Acceleration Fund'!C54+'Wachovia Grant'!C54+'G&amp;A'!C54</f>
        <v>30</v>
      </c>
      <c r="D54" s="17">
        <f>REACH!D54+'Community Technical Advisory '!D54+'Renaissance Guild'!D54+CDFI!D54+'MS Loan Fund'!D54+'Site Acceleration Fund'!D54+'Wachovia Grant'!D54+'G&amp;A'!D54</f>
        <v>30</v>
      </c>
      <c r="E54" s="17">
        <f>REACH!E54+'Community Technical Advisory '!E54+'Renaissance Guild'!E54+CDFI!E54+'MS Loan Fund'!E54+'Site Acceleration Fund'!E54+'Wachovia Grant'!E54+'G&amp;A'!E54</f>
        <v>30</v>
      </c>
      <c r="F54" s="17">
        <f>REACH!F54+'Community Technical Advisory '!F54+'Renaissance Guild'!F54+CDFI!F54+'MS Loan Fund'!F54+'Site Acceleration Fund'!F54+'Wachovia Grant'!F54+'G&amp;A'!F54</f>
        <v>30</v>
      </c>
      <c r="G54" s="17">
        <f>REACH!G54+'Community Technical Advisory '!G54+'Renaissance Guild'!G54+CDFI!G54+'MS Loan Fund'!G54+'Site Acceleration Fund'!G54+'Wachovia Grant'!G54+'G&amp;A'!G54</f>
        <v>30</v>
      </c>
      <c r="H54" s="17">
        <f>REACH!H54+'Community Technical Advisory '!H54+'Renaissance Guild'!H54+CDFI!H54+'MS Loan Fund'!H54+'Site Acceleration Fund'!H54+'Wachovia Grant'!H54+'G&amp;A'!H54</f>
        <v>31</v>
      </c>
      <c r="I54" s="17">
        <f>REACH!I54+'Community Technical Advisory '!I54+'Renaissance Guild'!I54+CDFI!I54+'MS Loan Fund'!I54+'Site Acceleration Fund'!I54+'Wachovia Grant'!I54+'G&amp;A'!I54</f>
        <v>31</v>
      </c>
      <c r="J54" s="17">
        <f>REACH!J54+'Community Technical Advisory '!J54+'Renaissance Guild'!J54+CDFI!J54+'MS Loan Fund'!J54+'Site Acceleration Fund'!J54+'Wachovia Grant'!J54+'G&amp;A'!J54</f>
        <v>31</v>
      </c>
      <c r="K54" s="17">
        <f>REACH!K54+'Community Technical Advisory '!K54+'Renaissance Guild'!K54+CDFI!K54+'MS Loan Fund'!K54+'Site Acceleration Fund'!K54+'Wachovia Grant'!K54+'G&amp;A'!K54</f>
        <v>31</v>
      </c>
      <c r="L54" s="17">
        <f>REACH!L54+'Community Technical Advisory '!L54+'Renaissance Guild'!L54+CDFI!L54+'MS Loan Fund'!L54+'Site Acceleration Fund'!L54+'Wachovia Grant'!L54+'G&amp;A'!L54</f>
        <v>31</v>
      </c>
      <c r="M54" s="17">
        <f>REACH!M54+'Community Technical Advisory '!M54+'Renaissance Guild'!M54+CDFI!M54+'MS Loan Fund'!M54+'Site Acceleration Fund'!M54+'Wachovia Grant'!M54+'G&amp;A'!M54</f>
        <v>31</v>
      </c>
      <c r="N54" s="17">
        <f>REACH!N54+'Community Technical Advisory '!N54+'Renaissance Guild'!N54+CDFI!N54+'MS Loan Fund'!N54+'Site Acceleration Fund'!N54+'Wachovia Grant'!N54+'G&amp;A'!N54</f>
        <v>31</v>
      </c>
      <c r="O54" s="1">
        <v>480</v>
      </c>
      <c r="P54" s="3" t="s">
        <v>55</v>
      </c>
    </row>
    <row r="55" spans="1:17" ht="15.75" customHeight="1" x14ac:dyDescent="0.25">
      <c r="A55" t="s">
        <v>54</v>
      </c>
      <c r="B55" s="1">
        <f t="shared" si="5"/>
        <v>13738</v>
      </c>
      <c r="C55" s="17">
        <f>REACH!C55+'Community Technical Advisory '!C55+'Renaissance Guild'!C55+CDFI!C55+'MS Loan Fund'!C55+'Site Acceleration Fund'!C55+'Wachovia Grant'!C55+'G&amp;A'!C55</f>
        <v>1125</v>
      </c>
      <c r="D55" s="17">
        <f>REACH!D55+'Community Technical Advisory '!D55+'Renaissance Guild'!D55+CDFI!D55+'MS Loan Fund'!D55+'Site Acceleration Fund'!D55+'Wachovia Grant'!D55+'G&amp;A'!D55</f>
        <v>1125</v>
      </c>
      <c r="E55" s="17">
        <f>REACH!E55+'Community Technical Advisory '!E55+'Renaissance Guild'!E55+CDFI!E55+'MS Loan Fund'!E55+'Site Acceleration Fund'!E55+'Wachovia Grant'!E55+'G&amp;A'!E55</f>
        <v>1125</v>
      </c>
      <c r="F55" s="17">
        <f>REACH!F55+'Community Technical Advisory '!F55+'Renaissance Guild'!F55+CDFI!F55+'MS Loan Fund'!F55+'Site Acceleration Fund'!F55+'Wachovia Grant'!F55+'G&amp;A'!F55</f>
        <v>1125</v>
      </c>
      <c r="G55" s="17">
        <f>REACH!G55+'Community Technical Advisory '!G55+'Renaissance Guild'!G55+CDFI!G55+'MS Loan Fund'!G55+'Site Acceleration Fund'!G55+'Wachovia Grant'!G55+'G&amp;A'!G55</f>
        <v>1125</v>
      </c>
      <c r="H55" s="17">
        <f>REACH!H55+'Community Technical Advisory '!H55+'Renaissance Guild'!H55+CDFI!H55+'MS Loan Fund'!H55+'Site Acceleration Fund'!H55+'Wachovia Grant'!H55+'G&amp;A'!H55</f>
        <v>1159</v>
      </c>
      <c r="I55" s="17">
        <f>REACH!I55+'Community Technical Advisory '!I55+'Renaissance Guild'!I55+CDFI!I55+'MS Loan Fund'!I55+'Site Acceleration Fund'!I55+'Wachovia Grant'!I55+'G&amp;A'!I55</f>
        <v>1159</v>
      </c>
      <c r="J55" s="17">
        <f>REACH!J55+'Community Technical Advisory '!J55+'Renaissance Guild'!J55+CDFI!J55+'MS Loan Fund'!J55+'Site Acceleration Fund'!J55+'Wachovia Grant'!J55+'G&amp;A'!J55</f>
        <v>1159</v>
      </c>
      <c r="K55" s="17">
        <f>REACH!K55+'Community Technical Advisory '!K55+'Renaissance Guild'!K55+CDFI!K55+'MS Loan Fund'!K55+'Site Acceleration Fund'!K55+'Wachovia Grant'!K55+'G&amp;A'!K55</f>
        <v>1159</v>
      </c>
      <c r="L55" s="17">
        <f>REACH!L55+'Community Technical Advisory '!L55+'Renaissance Guild'!L55+CDFI!L55+'MS Loan Fund'!L55+'Site Acceleration Fund'!L55+'Wachovia Grant'!L55+'G&amp;A'!L55</f>
        <v>1159</v>
      </c>
      <c r="M55" s="17">
        <f>REACH!M55+'Community Technical Advisory '!M55+'Renaissance Guild'!M55+CDFI!M55+'MS Loan Fund'!M55+'Site Acceleration Fund'!M55+'Wachovia Grant'!M55+'G&amp;A'!M55</f>
        <v>1159</v>
      </c>
      <c r="N55" s="17">
        <f>REACH!N55+'Community Technical Advisory '!N55+'Renaissance Guild'!N55+CDFI!N55+'MS Loan Fund'!N55+'Site Acceleration Fund'!N55+'Wachovia Grant'!N55+'G&amp;A'!N55</f>
        <v>1159</v>
      </c>
      <c r="O55" s="1">
        <v>36000</v>
      </c>
      <c r="P55" s="3" t="s">
        <v>57</v>
      </c>
    </row>
    <row r="56" spans="1:17" ht="15.75" customHeight="1" x14ac:dyDescent="0.25">
      <c r="A56" t="s">
        <v>99</v>
      </c>
      <c r="B56" s="1">
        <f>SUM(C56:N56)</f>
        <v>9285974</v>
      </c>
      <c r="C56" s="17">
        <f>REACH!C56+'Community Technical Advisory '!C56+'Renaissance Guild'!C56+CDFI!C56+'MS Loan Fund'!C56+'Site Acceleration Fund'!C56+'Wachovia Grant'!C56+'G&amp;A'!C56</f>
        <v>748553.25</v>
      </c>
      <c r="D56" s="17">
        <f>REACH!D56+'Community Technical Advisory '!D56+'Renaissance Guild'!D56+CDFI!D56+'MS Loan Fund'!D56+'Site Acceleration Fund'!D56+'Wachovia Grant'!D56+'G&amp;A'!D56</f>
        <v>748553.25</v>
      </c>
      <c r="E56" s="17">
        <f>REACH!E56+'Community Technical Advisory '!E56+'Renaissance Guild'!E56+CDFI!E56+'MS Loan Fund'!E56+'Site Acceleration Fund'!E56+'Wachovia Grant'!E56+'G&amp;A'!E56</f>
        <v>782404.25</v>
      </c>
      <c r="F56" s="17">
        <f>REACH!F56+'Community Technical Advisory '!F56+'Renaissance Guild'!F56+CDFI!F56+'MS Loan Fund'!F56+'Site Acceleration Fund'!F56+'Wachovia Grant'!F56+'G&amp;A'!F56</f>
        <v>753403.25</v>
      </c>
      <c r="G56" s="17">
        <f>REACH!G56+'Community Technical Advisory '!G56+'Renaissance Guild'!G56+CDFI!G56+'MS Loan Fund'!G56+'Site Acceleration Fund'!G56+'Wachovia Grant'!G56+'G&amp;A'!G56</f>
        <v>753403.25</v>
      </c>
      <c r="H56" s="17">
        <f>REACH!H56+'Community Technical Advisory '!H56+'Renaissance Guild'!H56+CDFI!H56+'MS Loan Fund'!H56+'Site Acceleration Fund'!H56+'Wachovia Grant'!H56+'G&amp;A'!H56</f>
        <v>785665.25</v>
      </c>
      <c r="I56" s="17">
        <f>REACH!I56+'Community Technical Advisory '!I56+'Renaissance Guild'!I56+CDFI!I56+'MS Loan Fund'!I56+'Site Acceleration Fund'!I56+'Wachovia Grant'!I56+'G&amp;A'!I56</f>
        <v>785665.25</v>
      </c>
      <c r="J56" s="17">
        <f>REACH!J56+'Community Technical Advisory '!J56+'Renaissance Guild'!J56+CDFI!J56+'MS Loan Fund'!J56+'Site Acceleration Fund'!J56+'Wachovia Grant'!J56+'G&amp;A'!J56</f>
        <v>785665.25</v>
      </c>
      <c r="K56" s="17">
        <f>REACH!K56+'Community Technical Advisory '!K56+'Renaissance Guild'!K56+CDFI!K56+'MS Loan Fund'!K56+'Site Acceleration Fund'!K56+'Wachovia Grant'!K56+'G&amp;A'!K56</f>
        <v>785665.25</v>
      </c>
      <c r="L56" s="17">
        <f>REACH!L56+'Community Technical Advisory '!L56+'Renaissance Guild'!L56+CDFI!L56+'MS Loan Fund'!L56+'Site Acceleration Fund'!L56+'Wachovia Grant'!L56+'G&amp;A'!L56</f>
        <v>785665.25</v>
      </c>
      <c r="M56" s="17">
        <f>REACH!M56+'Community Technical Advisory '!M56+'Renaissance Guild'!M56+CDFI!M56+'MS Loan Fund'!M56+'Site Acceleration Fund'!M56+'Wachovia Grant'!M56+'G&amp;A'!M56</f>
        <v>785665.25</v>
      </c>
      <c r="N56" s="17">
        <f>REACH!N56+'Community Technical Advisory '!N56+'Renaissance Guild'!N56+CDFI!N56+'MS Loan Fund'!N56+'Site Acceleration Fund'!N56+'Wachovia Grant'!N56+'G&amp;A'!N56</f>
        <v>785665.25</v>
      </c>
      <c r="O56" s="1"/>
    </row>
    <row r="57" spans="1:17" ht="15.75" customHeight="1" x14ac:dyDescent="0.25">
      <c r="A57" t="s">
        <v>56</v>
      </c>
      <c r="B57" s="1">
        <f t="shared" si="5"/>
        <v>0</v>
      </c>
      <c r="C57" s="17">
        <f>REACH!C57+'Community Technical Advisory '!C57+'Renaissance Guild'!C57+CDFI!C57+'MS Loan Fund'!C57+'Site Acceleration Fund'!C57+'Wachovia Grant'!C57+'G&amp;A'!C57</f>
        <v>0</v>
      </c>
      <c r="D57" s="17">
        <f>REACH!D57+'Community Technical Advisory '!D57+'Renaissance Guild'!D57+CDFI!D57+'MS Loan Fund'!D57+'Site Acceleration Fund'!D57+'Wachovia Grant'!D57+'G&amp;A'!D57</f>
        <v>0</v>
      </c>
      <c r="E57" s="17">
        <f>REACH!E57+'Community Technical Advisory '!E57+'Renaissance Guild'!E57+CDFI!E57+'MS Loan Fund'!E57+'Site Acceleration Fund'!E57+'Wachovia Grant'!E57+'G&amp;A'!E57</f>
        <v>0</v>
      </c>
      <c r="F57" s="17">
        <f>REACH!F57+'Community Technical Advisory '!F57+'Renaissance Guild'!F57+CDFI!F57+'MS Loan Fund'!F57+'Site Acceleration Fund'!F57+'Wachovia Grant'!F57+'G&amp;A'!F57</f>
        <v>0</v>
      </c>
      <c r="G57" s="17">
        <f>REACH!G57+'Community Technical Advisory '!G57+'Renaissance Guild'!G57+CDFI!G57+'MS Loan Fund'!G57+'Site Acceleration Fund'!G57+'Wachovia Grant'!G57+'G&amp;A'!G57</f>
        <v>0</v>
      </c>
      <c r="H57" s="17">
        <f>REACH!H57+'Community Technical Advisory '!H57+'Renaissance Guild'!H57+CDFI!H57+'MS Loan Fund'!H57+'Site Acceleration Fund'!H57+'Wachovia Grant'!H57+'G&amp;A'!H57</f>
        <v>0</v>
      </c>
      <c r="I57" s="17">
        <f>REACH!I57+'Community Technical Advisory '!I57+'Renaissance Guild'!I57+CDFI!I57+'MS Loan Fund'!I57+'Site Acceleration Fund'!I57+'Wachovia Grant'!I57+'G&amp;A'!I57</f>
        <v>0</v>
      </c>
      <c r="J57" s="17">
        <f>REACH!J57+'Community Technical Advisory '!J57+'Renaissance Guild'!J57+CDFI!J57+'MS Loan Fund'!J57+'Site Acceleration Fund'!J57+'Wachovia Grant'!J57+'G&amp;A'!J57</f>
        <v>0</v>
      </c>
      <c r="K57" s="17">
        <f>REACH!K57+'Community Technical Advisory '!K57+'Renaissance Guild'!K57+CDFI!K57+'MS Loan Fund'!K57+'Site Acceleration Fund'!K57+'Wachovia Grant'!K57+'G&amp;A'!K57</f>
        <v>0</v>
      </c>
      <c r="L57" s="17">
        <f>REACH!L57+'Community Technical Advisory '!L57+'Renaissance Guild'!L57+CDFI!L57+'MS Loan Fund'!L57+'Site Acceleration Fund'!L57+'Wachovia Grant'!L57+'G&amp;A'!L57</f>
        <v>0</v>
      </c>
      <c r="M57" s="17">
        <f>REACH!M57+'Community Technical Advisory '!M57+'Renaissance Guild'!M57+CDFI!M57+'MS Loan Fund'!M57+'Site Acceleration Fund'!M57+'Wachovia Grant'!M57+'G&amp;A'!M57</f>
        <v>0</v>
      </c>
      <c r="N57" s="17">
        <f>REACH!N57+'Community Technical Advisory '!N57+'Renaissance Guild'!N57+CDFI!N57+'MS Loan Fund'!N57+'Site Acceleration Fund'!N57+'Wachovia Grant'!N57+'G&amp;A'!N57</f>
        <v>0</v>
      </c>
      <c r="O57" s="1">
        <v>3780</v>
      </c>
      <c r="P57" s="3" t="s">
        <v>59</v>
      </c>
    </row>
    <row r="58" spans="1:17" ht="15.75" customHeight="1" x14ac:dyDescent="0.25">
      <c r="A58" t="s">
        <v>58</v>
      </c>
      <c r="B58" s="1">
        <f t="shared" si="5"/>
        <v>0</v>
      </c>
      <c r="C58" s="17">
        <f>REACH!C58+'Community Technical Advisory '!C58+'Renaissance Guild'!C58+CDFI!C58+'MS Loan Fund'!C58+'Site Acceleration Fund'!C58+'Wachovia Grant'!C58+'G&amp;A'!C58</f>
        <v>0</v>
      </c>
      <c r="D58" s="17">
        <f>REACH!D58+'Community Technical Advisory '!D58+'Renaissance Guild'!D58+CDFI!D58+'MS Loan Fund'!D58+'Site Acceleration Fund'!D58+'Wachovia Grant'!D58+'G&amp;A'!D58</f>
        <v>0</v>
      </c>
      <c r="E58" s="17">
        <f>REACH!E58+'Community Technical Advisory '!E58+'Renaissance Guild'!E58+CDFI!E58+'MS Loan Fund'!E58+'Site Acceleration Fund'!E58+'Wachovia Grant'!E58+'G&amp;A'!E58</f>
        <v>0</v>
      </c>
      <c r="F58" s="17">
        <f>REACH!F58+'Community Technical Advisory '!F58+'Renaissance Guild'!F58+CDFI!F58+'MS Loan Fund'!F58+'Site Acceleration Fund'!F58+'Wachovia Grant'!F58+'G&amp;A'!F58</f>
        <v>0</v>
      </c>
      <c r="G58" s="17">
        <f>REACH!G58+'Community Technical Advisory '!G58+'Renaissance Guild'!G58+CDFI!G58+'MS Loan Fund'!G58+'Site Acceleration Fund'!G58+'Wachovia Grant'!G58+'G&amp;A'!G58</f>
        <v>0</v>
      </c>
      <c r="H58" s="17">
        <f>REACH!H58+'Community Technical Advisory '!H58+'Renaissance Guild'!H58+CDFI!H58+'MS Loan Fund'!H58+'Site Acceleration Fund'!H58+'Wachovia Grant'!H58+'G&amp;A'!H58</f>
        <v>0</v>
      </c>
      <c r="I58" s="17">
        <f>REACH!I58+'Community Technical Advisory '!I58+'Renaissance Guild'!I58+CDFI!I58+'MS Loan Fund'!I58+'Site Acceleration Fund'!I58+'Wachovia Grant'!I58+'G&amp;A'!I58</f>
        <v>0</v>
      </c>
      <c r="J58" s="17">
        <f>REACH!J58+'Community Technical Advisory '!J58+'Renaissance Guild'!J58+CDFI!J58+'MS Loan Fund'!J58+'Site Acceleration Fund'!J58+'Wachovia Grant'!J58+'G&amp;A'!J58</f>
        <v>0</v>
      </c>
      <c r="K58" s="17">
        <f>REACH!K58+'Community Technical Advisory '!K58+'Renaissance Guild'!K58+CDFI!K58+'MS Loan Fund'!K58+'Site Acceleration Fund'!K58+'Wachovia Grant'!K58+'G&amp;A'!K58</f>
        <v>0</v>
      </c>
      <c r="L58" s="17">
        <f>REACH!L58+'Community Technical Advisory '!L58+'Renaissance Guild'!L58+CDFI!L58+'MS Loan Fund'!L58+'Site Acceleration Fund'!L58+'Wachovia Grant'!L58+'G&amp;A'!L58</f>
        <v>0</v>
      </c>
      <c r="M58" s="17">
        <f>REACH!M58+'Community Technical Advisory '!M58+'Renaissance Guild'!M58+CDFI!M58+'MS Loan Fund'!M58+'Site Acceleration Fund'!M58+'Wachovia Grant'!M58+'G&amp;A'!M58</f>
        <v>0</v>
      </c>
      <c r="N58" s="17">
        <f>REACH!N58+'Community Technical Advisory '!N58+'Renaissance Guild'!N58+CDFI!N58+'MS Loan Fund'!N58+'Site Acceleration Fund'!N58+'Wachovia Grant'!N58+'G&amp;A'!N58</f>
        <v>0</v>
      </c>
      <c r="O58" s="1">
        <v>0</v>
      </c>
      <c r="P58" s="3" t="s">
        <v>61</v>
      </c>
    </row>
    <row r="59" spans="1:17" ht="15.75" customHeight="1" x14ac:dyDescent="0.25">
      <c r="A59" t="s">
        <v>60</v>
      </c>
      <c r="B59" s="4">
        <f>SUM(C59:N59)</f>
        <v>0</v>
      </c>
      <c r="C59" s="18">
        <f>REACH!C59+'Community Technical Advisory '!C59+'Renaissance Guild'!C59+CDFI!C59+'MS Loan Fund'!C59+'Site Acceleration Fund'!C59+'Wachovia Grant'!C59+'G&amp;A'!C59</f>
        <v>0</v>
      </c>
      <c r="D59" s="18">
        <f>REACH!D59+'Community Technical Advisory '!D59+'Renaissance Guild'!D59+CDFI!D59+'MS Loan Fund'!D59+'Site Acceleration Fund'!D59+'Wachovia Grant'!D59+'G&amp;A'!D59</f>
        <v>0</v>
      </c>
      <c r="E59" s="18">
        <f>REACH!E59+'Community Technical Advisory '!E59+'Renaissance Guild'!E59+CDFI!E59+'MS Loan Fund'!E59+'Site Acceleration Fund'!E59+'Wachovia Grant'!E59+'G&amp;A'!E59</f>
        <v>0</v>
      </c>
      <c r="F59" s="18">
        <f>REACH!F59+'Community Technical Advisory '!F59+'Renaissance Guild'!F59+CDFI!F59+'MS Loan Fund'!F59+'Site Acceleration Fund'!F59+'Wachovia Grant'!F59+'G&amp;A'!F59</f>
        <v>0</v>
      </c>
      <c r="G59" s="18">
        <f>REACH!G59+'Community Technical Advisory '!G59+'Renaissance Guild'!G59+CDFI!G59+'MS Loan Fund'!G59+'Site Acceleration Fund'!G59+'Wachovia Grant'!G59+'G&amp;A'!G59</f>
        <v>0</v>
      </c>
      <c r="H59" s="18">
        <f>REACH!H59+'Community Technical Advisory '!H59+'Renaissance Guild'!H59+CDFI!H59+'MS Loan Fund'!H59+'Site Acceleration Fund'!H59+'Wachovia Grant'!H59+'G&amp;A'!H59</f>
        <v>0</v>
      </c>
      <c r="I59" s="18">
        <f>REACH!I59+'Community Technical Advisory '!I59+'Renaissance Guild'!I59+CDFI!I59+'MS Loan Fund'!I59+'Site Acceleration Fund'!I59+'Wachovia Grant'!I59+'G&amp;A'!I59</f>
        <v>0</v>
      </c>
      <c r="J59" s="18">
        <f>REACH!J59+'Community Technical Advisory '!J59+'Renaissance Guild'!J59+CDFI!J59+'MS Loan Fund'!J59+'Site Acceleration Fund'!J59+'Wachovia Grant'!J59+'G&amp;A'!J59</f>
        <v>0</v>
      </c>
      <c r="K59" s="18">
        <f>REACH!K59+'Community Technical Advisory '!K59+'Renaissance Guild'!K59+CDFI!K59+'MS Loan Fund'!K59+'Site Acceleration Fund'!K59+'Wachovia Grant'!K59+'G&amp;A'!K59</f>
        <v>0</v>
      </c>
      <c r="L59" s="18">
        <f>REACH!L59+'Community Technical Advisory '!L59+'Renaissance Guild'!L59+CDFI!L59+'MS Loan Fund'!L59+'Site Acceleration Fund'!L59+'Wachovia Grant'!L59+'G&amp;A'!L59</f>
        <v>0</v>
      </c>
      <c r="M59" s="18">
        <f>REACH!M59+'Community Technical Advisory '!M59+'Renaissance Guild'!M59+CDFI!M59+'MS Loan Fund'!M59+'Site Acceleration Fund'!M59+'Wachovia Grant'!M59+'G&amp;A'!M59</f>
        <v>0</v>
      </c>
      <c r="N59" s="18">
        <f>REACH!N59+'Community Technical Advisory '!N59+'Renaissance Guild'!N59+CDFI!N59+'MS Loan Fund'!N59+'Site Acceleration Fund'!N59+'Wachovia Grant'!N59+'G&amp;A'!N59</f>
        <v>0</v>
      </c>
      <c r="O59" s="4">
        <v>-280131</v>
      </c>
    </row>
    <row r="60" spans="1:17" ht="15.75" customHeight="1" x14ac:dyDescent="0.25">
      <c r="A60" t="s">
        <v>31</v>
      </c>
      <c r="B60" s="1">
        <f>SUM(B43:B59)</f>
        <v>9644466</v>
      </c>
      <c r="C60" s="17">
        <f>SUM(C43:C59)</f>
        <v>776534.25</v>
      </c>
      <c r="D60" s="17">
        <f t="shared" ref="D60:N60" si="6">SUM(D43:D59)</f>
        <v>777734.25</v>
      </c>
      <c r="E60" s="17">
        <f t="shared" si="6"/>
        <v>810385.25</v>
      </c>
      <c r="F60" s="17">
        <f t="shared" si="6"/>
        <v>782584.25</v>
      </c>
      <c r="G60" s="17">
        <f t="shared" si="6"/>
        <v>781384.25</v>
      </c>
      <c r="H60" s="17">
        <f t="shared" si="6"/>
        <v>816206.25</v>
      </c>
      <c r="I60" s="17">
        <f t="shared" si="6"/>
        <v>817406.25</v>
      </c>
      <c r="J60" s="17">
        <f t="shared" si="6"/>
        <v>816206.25</v>
      </c>
      <c r="K60" s="17">
        <f t="shared" si="6"/>
        <v>816206.25</v>
      </c>
      <c r="L60" s="17">
        <f t="shared" si="6"/>
        <v>817406.25</v>
      </c>
      <c r="M60" s="17">
        <f t="shared" si="6"/>
        <v>816206.25</v>
      </c>
      <c r="N60" s="17">
        <f t="shared" si="6"/>
        <v>816206.25</v>
      </c>
      <c r="O60" s="1">
        <v>-144971</v>
      </c>
    </row>
    <row r="61" spans="1:17" ht="15.75" customHeight="1" x14ac:dyDescent="0.25">
      <c r="B61" s="1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"/>
    </row>
    <row r="62" spans="1:17" ht="15.75" customHeight="1" x14ac:dyDescent="0.25">
      <c r="A62" t="s">
        <v>102</v>
      </c>
      <c r="B62" s="4">
        <f>SUM(C62:N62)</f>
        <v>10625339.456666667</v>
      </c>
      <c r="C62" s="18">
        <f t="shared" ref="C62:N62" si="7">C40+C60</f>
        <v>854803.92</v>
      </c>
      <c r="D62" s="18">
        <f t="shared" si="7"/>
        <v>856003.92</v>
      </c>
      <c r="E62" s="18">
        <f t="shared" si="7"/>
        <v>888654.92</v>
      </c>
      <c r="F62" s="18">
        <f t="shared" si="7"/>
        <v>867053.92</v>
      </c>
      <c r="G62" s="18">
        <f t="shared" si="7"/>
        <v>862653.92</v>
      </c>
      <c r="H62" s="18">
        <f t="shared" si="7"/>
        <v>899109.83666666667</v>
      </c>
      <c r="I62" s="18">
        <f t="shared" si="7"/>
        <v>900309.83666666667</v>
      </c>
      <c r="J62" s="18">
        <f t="shared" si="7"/>
        <v>899109.83666666667</v>
      </c>
      <c r="K62" s="18">
        <f t="shared" si="7"/>
        <v>899109.83666666667</v>
      </c>
      <c r="L62" s="18">
        <f t="shared" si="7"/>
        <v>900309.83666666667</v>
      </c>
      <c r="M62" s="18">
        <f t="shared" si="7"/>
        <v>899109.83666666667</v>
      </c>
      <c r="N62" s="18">
        <f t="shared" si="7"/>
        <v>899109.83666666667</v>
      </c>
      <c r="O62" s="1"/>
    </row>
    <row r="63" spans="1:17" ht="15.75" customHeight="1" x14ac:dyDescent="0.25">
      <c r="B63" s="1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">
        <v>0</v>
      </c>
    </row>
    <row r="64" spans="1:17" ht="15.75" customHeight="1" x14ac:dyDescent="0.25">
      <c r="A64" s="24" t="s">
        <v>62</v>
      </c>
      <c r="B64" s="25">
        <f t="shared" ref="B64:N64" si="8">B40+B60</f>
        <v>10625339.456666667</v>
      </c>
      <c r="C64" s="26">
        <f t="shared" si="8"/>
        <v>854803.92</v>
      </c>
      <c r="D64" s="26">
        <f t="shared" si="8"/>
        <v>856003.92</v>
      </c>
      <c r="E64" s="26">
        <f t="shared" si="8"/>
        <v>888654.92</v>
      </c>
      <c r="F64" s="26">
        <f t="shared" si="8"/>
        <v>867053.92</v>
      </c>
      <c r="G64" s="26">
        <f t="shared" si="8"/>
        <v>862653.92</v>
      </c>
      <c r="H64" s="26">
        <f t="shared" si="8"/>
        <v>899109.83666666667</v>
      </c>
      <c r="I64" s="26">
        <f t="shared" si="8"/>
        <v>900309.83666666667</v>
      </c>
      <c r="J64" s="26">
        <f t="shared" si="8"/>
        <v>899109.83666666667</v>
      </c>
      <c r="K64" s="26">
        <f t="shared" si="8"/>
        <v>899109.83666666667</v>
      </c>
      <c r="L64" s="26">
        <f t="shared" si="8"/>
        <v>900309.83666666667</v>
      </c>
      <c r="M64" s="26">
        <f t="shared" si="8"/>
        <v>899109.83666666667</v>
      </c>
      <c r="N64" s="26">
        <f t="shared" si="8"/>
        <v>899109.83666666667</v>
      </c>
      <c r="O64" s="1">
        <f>SUM(C64:N64)</f>
        <v>10625339.456666667</v>
      </c>
    </row>
    <row r="65" spans="1:15" ht="15.75" customHeight="1" x14ac:dyDescent="0.25">
      <c r="A65" s="24" t="s">
        <v>63</v>
      </c>
      <c r="B65" s="25"/>
      <c r="C65" s="26">
        <f>C64</f>
        <v>854803.92</v>
      </c>
      <c r="D65" s="26">
        <f>C65+D64</f>
        <v>1710807.84</v>
      </c>
      <c r="E65" s="26">
        <f t="shared" ref="E65:N65" si="9">D65+E64</f>
        <v>2599462.7600000002</v>
      </c>
      <c r="F65" s="26">
        <f t="shared" si="9"/>
        <v>3466516.68</v>
      </c>
      <c r="G65" s="26">
        <f t="shared" si="9"/>
        <v>4329170.6000000006</v>
      </c>
      <c r="H65" s="26">
        <f t="shared" si="9"/>
        <v>5228280.4366666675</v>
      </c>
      <c r="I65" s="26">
        <f t="shared" si="9"/>
        <v>6128590.2733333344</v>
      </c>
      <c r="J65" s="26">
        <f t="shared" si="9"/>
        <v>7027700.1100000013</v>
      </c>
      <c r="K65" s="26">
        <f t="shared" si="9"/>
        <v>7926809.9466666682</v>
      </c>
      <c r="L65" s="26">
        <f t="shared" si="9"/>
        <v>8827119.7833333351</v>
      </c>
      <c r="M65" s="26">
        <f t="shared" si="9"/>
        <v>9726229.620000001</v>
      </c>
      <c r="N65" s="26">
        <f t="shared" si="9"/>
        <v>10625339.456666667</v>
      </c>
      <c r="O65" s="1" t="s">
        <v>1</v>
      </c>
    </row>
    <row r="66" spans="1:15" x14ac:dyDescent="0.25">
      <c r="A66" s="24"/>
      <c r="B66" s="24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  <row r="67" spans="1:15" ht="15.75" thickBot="1" x14ac:dyDescent="0.3">
      <c r="A67" s="24" t="s">
        <v>103</v>
      </c>
      <c r="B67" s="27">
        <f>SUM(C67:N67)</f>
        <v>-694038.4566666669</v>
      </c>
      <c r="C67" s="28">
        <f t="shared" ref="C67:N67" si="10">C32-C62</f>
        <v>-62467.670000000042</v>
      </c>
      <c r="D67" s="28">
        <f t="shared" si="10"/>
        <v>-63667.670000000042</v>
      </c>
      <c r="E67" s="28">
        <f t="shared" si="10"/>
        <v>-96318.670000000042</v>
      </c>
      <c r="F67" s="28">
        <f t="shared" si="10"/>
        <v>-74717.670000000042</v>
      </c>
      <c r="G67" s="28">
        <f t="shared" si="10"/>
        <v>-89493.670000000042</v>
      </c>
      <c r="H67" s="28">
        <f t="shared" si="10"/>
        <v>-43567.58666666667</v>
      </c>
      <c r="I67" s="28">
        <f t="shared" si="10"/>
        <v>-44767.58666666667</v>
      </c>
      <c r="J67" s="28">
        <f t="shared" si="10"/>
        <v>-43567.58666666667</v>
      </c>
      <c r="K67" s="28">
        <f t="shared" si="10"/>
        <v>-43567.58666666667</v>
      </c>
      <c r="L67" s="28">
        <f t="shared" si="10"/>
        <v>-44767.58666666667</v>
      </c>
      <c r="M67" s="28">
        <f t="shared" si="10"/>
        <v>-43567.58666666667</v>
      </c>
      <c r="N67" s="28">
        <f t="shared" si="10"/>
        <v>-43567.58666666667</v>
      </c>
    </row>
    <row r="68" spans="1:15" ht="15.75" thickTop="1" x14ac:dyDescent="0.25"/>
  </sheetData>
  <pageMargins left="0.7" right="0.7" top="0.75" bottom="0.75" header="0.3" footer="0.3"/>
  <pageSetup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7"/>
  <sheetViews>
    <sheetView workbookViewId="0">
      <selection activeCell="A27" sqref="A27"/>
    </sheetView>
  </sheetViews>
  <sheetFormatPr defaultRowHeight="15" x14ac:dyDescent="0.25"/>
  <cols>
    <col min="1" max="1" width="29.140625" customWidth="1"/>
    <col min="2" max="2" width="10.7109375" bestFit="1" customWidth="1"/>
    <col min="3" max="5" width="10" bestFit="1" customWidth="1"/>
    <col min="6" max="6" width="10.7109375" bestFit="1" customWidth="1"/>
    <col min="7" max="11" width="10" bestFit="1" customWidth="1"/>
    <col min="12" max="12" width="10.7109375" bestFit="1" customWidth="1"/>
    <col min="13" max="14" width="10" bestFit="1" customWidth="1"/>
    <col min="15" max="15" width="45.7109375" style="3" customWidth="1"/>
  </cols>
  <sheetData>
    <row r="3" spans="1:15" x14ac:dyDescent="0.25">
      <c r="A3" s="5" t="s">
        <v>0</v>
      </c>
    </row>
    <row r="4" spans="1:15" x14ac:dyDescent="0.25">
      <c r="A4" s="5" t="s">
        <v>115</v>
      </c>
    </row>
    <row r="5" spans="1:15" ht="15.75" x14ac:dyDescent="0.25">
      <c r="A5" s="5" t="s">
        <v>1</v>
      </c>
      <c r="B5" s="6" t="s">
        <v>2</v>
      </c>
      <c r="C5" s="7">
        <f>'Budget Summary'!C5</f>
        <v>39814</v>
      </c>
      <c r="D5" s="7">
        <f>C5+31</f>
        <v>39845</v>
      </c>
      <c r="E5" s="7">
        <f t="shared" ref="E5:N5" si="0">D5+31</f>
        <v>39876</v>
      </c>
      <c r="F5" s="7">
        <f t="shared" si="0"/>
        <v>39907</v>
      </c>
      <c r="G5" s="7">
        <f t="shared" si="0"/>
        <v>39938</v>
      </c>
      <c r="H5" s="7">
        <f t="shared" si="0"/>
        <v>39969</v>
      </c>
      <c r="I5" s="7">
        <f t="shared" si="0"/>
        <v>40000</v>
      </c>
      <c r="J5" s="7">
        <f t="shared" si="0"/>
        <v>40031</v>
      </c>
      <c r="K5" s="7">
        <f t="shared" si="0"/>
        <v>40062</v>
      </c>
      <c r="L5" s="7">
        <f t="shared" si="0"/>
        <v>40093</v>
      </c>
      <c r="M5" s="7">
        <f t="shared" si="0"/>
        <v>40124</v>
      </c>
      <c r="N5" s="7">
        <f t="shared" si="0"/>
        <v>40155</v>
      </c>
      <c r="O5" s="2" t="s">
        <v>3</v>
      </c>
    </row>
    <row r="6" spans="1:15" ht="15.75" hidden="1" customHeight="1" x14ac:dyDescent="0.25">
      <c r="A6" s="5" t="s">
        <v>1</v>
      </c>
    </row>
    <row r="7" spans="1:15" ht="15.75" hidden="1" customHeight="1" x14ac:dyDescent="0.25">
      <c r="A7" s="5" t="s">
        <v>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 s="3" t="s">
        <v>1</v>
      </c>
    </row>
    <row r="8" spans="1:15" ht="15.75" hidden="1" customHeight="1" x14ac:dyDescent="0.25">
      <c r="A8" s="5" t="s">
        <v>5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 s="3" t="s">
        <v>1</v>
      </c>
    </row>
    <row r="9" spans="1:15" ht="15.75" hidden="1" customHeight="1" x14ac:dyDescent="0.25">
      <c r="A9" s="5" t="s">
        <v>6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 s="3" t="s">
        <v>1</v>
      </c>
    </row>
    <row r="10" spans="1:15" ht="15.75" hidden="1" customHeight="1" x14ac:dyDescent="0.25">
      <c r="A10" s="5" t="s">
        <v>7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 s="3" t="s">
        <v>1</v>
      </c>
    </row>
    <row r="11" spans="1:15" ht="15.75" hidden="1" customHeight="1" x14ac:dyDescent="0.25">
      <c r="A11" s="5" t="s">
        <v>8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 s="3" t="s">
        <v>1</v>
      </c>
    </row>
    <row r="12" spans="1:15" ht="15.75" hidden="1" customHeight="1" x14ac:dyDescent="0.25">
      <c r="A12" s="5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 s="3" t="s">
        <v>1</v>
      </c>
    </row>
    <row r="13" spans="1:15" ht="15.75" hidden="1" customHeight="1" x14ac:dyDescent="0.25">
      <c r="A13" s="5" t="s">
        <v>10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 s="3" t="s">
        <v>1</v>
      </c>
    </row>
    <row r="14" spans="1:15" ht="15.75" hidden="1" customHeight="1" x14ac:dyDescent="0.25">
      <c r="A14" s="5" t="s">
        <v>11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 s="3" t="s">
        <v>1</v>
      </c>
    </row>
    <row r="15" spans="1:15" ht="15.75" hidden="1" customHeight="1" x14ac:dyDescent="0.25">
      <c r="A15" s="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 s="3" t="s">
        <v>1</v>
      </c>
    </row>
    <row r="16" spans="1:15" ht="15.75" hidden="1" customHeight="1" x14ac:dyDescent="0.25">
      <c r="A16" s="5" t="s">
        <v>13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 s="3" t="s">
        <v>1</v>
      </c>
    </row>
    <row r="17" spans="1:15" ht="15.75" hidden="1" customHeight="1" x14ac:dyDescent="0.25">
      <c r="A17" s="5" t="s">
        <v>14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 s="3" t="s">
        <v>1</v>
      </c>
    </row>
    <row r="18" spans="1:15" ht="15.75" hidden="1" customHeight="1" x14ac:dyDescent="0.25">
      <c r="A18" s="5"/>
      <c r="O18" s="3" t="s">
        <v>15</v>
      </c>
    </row>
    <row r="19" spans="1:15" ht="15.75" customHeight="1" x14ac:dyDescent="0.25">
      <c r="A19" s="5" t="s">
        <v>16</v>
      </c>
      <c r="B19" s="1" t="s">
        <v>1</v>
      </c>
      <c r="C19" s="39">
        <v>253831.81</v>
      </c>
      <c r="D19" s="1">
        <f>C56</f>
        <v>273627.90500000003</v>
      </c>
      <c r="E19" s="1">
        <f t="shared" ref="E19:N19" si="1">D56</f>
        <v>293411.57</v>
      </c>
      <c r="F19" s="1">
        <f t="shared" si="1"/>
        <v>238297.04500000001</v>
      </c>
      <c r="G19" s="1">
        <f t="shared" si="1"/>
        <v>263406.88000000006</v>
      </c>
      <c r="H19" s="1">
        <f t="shared" si="1"/>
        <v>213855.07500000007</v>
      </c>
      <c r="I19" s="1">
        <f t="shared" si="1"/>
        <v>264209.70000000007</v>
      </c>
      <c r="J19" s="1">
        <f t="shared" si="1"/>
        <v>207976.14500000008</v>
      </c>
      <c r="K19" s="1">
        <f t="shared" si="1"/>
        <v>250809.64000000007</v>
      </c>
      <c r="L19" s="1">
        <f t="shared" si="1"/>
        <v>193737.02500000008</v>
      </c>
      <c r="M19" s="1">
        <f t="shared" si="1"/>
        <v>224401.34000000008</v>
      </c>
      <c r="N19" s="1">
        <f t="shared" si="1"/>
        <v>230111.63500000007</v>
      </c>
    </row>
    <row r="20" spans="1:15" ht="15.75" customHeight="1" x14ac:dyDescent="0.25">
      <c r="A20" s="5" t="s">
        <v>17</v>
      </c>
      <c r="B20" s="1" t="s">
        <v>1</v>
      </c>
      <c r="C20" s="35"/>
      <c r="D20" s="35"/>
      <c r="E20" s="35"/>
      <c r="F20" s="35"/>
      <c r="G20" s="35"/>
      <c r="H20" s="35"/>
      <c r="I20" s="35"/>
      <c r="J20" s="35"/>
      <c r="K20" s="35"/>
      <c r="L20" s="35">
        <v>250000</v>
      </c>
      <c r="M20" s="35" t="s">
        <v>1</v>
      </c>
      <c r="N20" s="35" t="s">
        <v>1</v>
      </c>
    </row>
    <row r="21" spans="1:15" ht="15.75" customHeight="1" x14ac:dyDescent="0.25">
      <c r="A21" s="5" t="s">
        <v>18</v>
      </c>
      <c r="B21" s="1" t="s">
        <v>1</v>
      </c>
      <c r="C21" s="35">
        <v>75000</v>
      </c>
      <c r="D21" s="35">
        <v>75000</v>
      </c>
      <c r="E21" s="35">
        <v>0</v>
      </c>
      <c r="F21" s="35">
        <v>500000</v>
      </c>
      <c r="G21" s="35">
        <v>0</v>
      </c>
      <c r="H21" s="35">
        <v>100000</v>
      </c>
      <c r="I21" s="35">
        <v>0</v>
      </c>
      <c r="J21" s="35">
        <v>100000</v>
      </c>
      <c r="K21" s="35">
        <v>0</v>
      </c>
      <c r="L21" s="35"/>
      <c r="M21" s="35">
        <v>75000</v>
      </c>
      <c r="N21" s="35">
        <v>75000</v>
      </c>
    </row>
    <row r="22" spans="1:15" ht="15.75" customHeight="1" x14ac:dyDescent="0.25">
      <c r="A22" s="5" t="s">
        <v>19</v>
      </c>
      <c r="B22" s="4" t="s">
        <v>1</v>
      </c>
      <c r="C22" s="38"/>
      <c r="D22" s="38"/>
      <c r="E22" s="38"/>
      <c r="F22" s="38">
        <v>-425000</v>
      </c>
      <c r="G22" s="38"/>
      <c r="H22" s="38"/>
      <c r="I22" s="38"/>
      <c r="J22" s="38"/>
      <c r="K22" s="38"/>
      <c r="L22" s="38">
        <v>-150000</v>
      </c>
      <c r="M22" s="38">
        <v>0</v>
      </c>
      <c r="N22" s="38"/>
    </row>
    <row r="23" spans="1:15" ht="15.75" customHeight="1" x14ac:dyDescent="0.25">
      <c r="A23" s="5" t="s">
        <v>20</v>
      </c>
      <c r="B23" s="1">
        <v>0</v>
      </c>
      <c r="C23" s="1">
        <f>SUM(C19:C22)</f>
        <v>328831.81</v>
      </c>
      <c r="D23" s="1">
        <f t="shared" ref="D23:N23" si="2">SUM(D19:D22)</f>
        <v>348627.90500000003</v>
      </c>
      <c r="E23" s="1">
        <f t="shared" si="2"/>
        <v>293411.57</v>
      </c>
      <c r="F23" s="1">
        <f t="shared" si="2"/>
        <v>313297.04500000004</v>
      </c>
      <c r="G23" s="1">
        <f t="shared" si="2"/>
        <v>263406.88000000006</v>
      </c>
      <c r="H23" s="1">
        <f t="shared" si="2"/>
        <v>313855.07500000007</v>
      </c>
      <c r="I23" s="1">
        <f t="shared" si="2"/>
        <v>264209.70000000007</v>
      </c>
      <c r="J23" s="1">
        <f t="shared" si="2"/>
        <v>307976.14500000008</v>
      </c>
      <c r="K23" s="1">
        <f t="shared" si="2"/>
        <v>250809.64000000007</v>
      </c>
      <c r="L23" s="1">
        <f t="shared" si="2"/>
        <v>293737.02500000008</v>
      </c>
      <c r="M23" s="1">
        <f t="shared" si="2"/>
        <v>299401.34000000008</v>
      </c>
      <c r="N23" s="1">
        <f t="shared" si="2"/>
        <v>305111.63500000007</v>
      </c>
    </row>
    <row r="24" spans="1:15" ht="15.75" customHeight="1" x14ac:dyDescent="0.25">
      <c r="A24" s="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5" ht="15.75" hidden="1" customHeight="1" x14ac:dyDescent="0.25">
      <c r="A25" s="5" t="s">
        <v>21</v>
      </c>
      <c r="B25" s="1">
        <v>523950</v>
      </c>
      <c r="C25" s="1">
        <v>43662.500000000007</v>
      </c>
      <c r="D25" s="1">
        <v>43662.500000000007</v>
      </c>
      <c r="E25" s="1">
        <v>43662.500000000007</v>
      </c>
      <c r="F25" s="1">
        <v>43662.500000000007</v>
      </c>
      <c r="G25" s="1">
        <v>43662.500000000007</v>
      </c>
      <c r="H25" s="1">
        <v>43662.500000000007</v>
      </c>
      <c r="I25" s="1">
        <v>43662.500000000007</v>
      </c>
      <c r="J25" s="1">
        <v>43662.500000000007</v>
      </c>
      <c r="K25" s="1">
        <v>43662.500000000007</v>
      </c>
      <c r="L25" s="1">
        <v>43662.500000000007</v>
      </c>
      <c r="M25" s="1">
        <v>43662.500000000007</v>
      </c>
      <c r="N25" s="1">
        <v>43662.500000000007</v>
      </c>
      <c r="O25" s="3" t="s">
        <v>22</v>
      </c>
    </row>
    <row r="26" spans="1:15" ht="15.75" hidden="1" customHeight="1" x14ac:dyDescent="0.25">
      <c r="A26" s="5" t="s">
        <v>23</v>
      </c>
      <c r="B26" s="1">
        <v>130987.5</v>
      </c>
      <c r="C26" s="1">
        <v>10915.625</v>
      </c>
      <c r="D26" s="1">
        <v>10915.625</v>
      </c>
      <c r="E26" s="1">
        <v>10915.625</v>
      </c>
      <c r="F26" s="1">
        <v>10915.625</v>
      </c>
      <c r="G26" s="1">
        <v>10915.625</v>
      </c>
      <c r="H26" s="1">
        <v>10915.625</v>
      </c>
      <c r="I26" s="1">
        <v>10915.625</v>
      </c>
      <c r="J26" s="1">
        <v>10915.625</v>
      </c>
      <c r="K26" s="1">
        <v>10915.625</v>
      </c>
      <c r="L26" s="1">
        <v>10915.625</v>
      </c>
      <c r="M26" s="1">
        <v>10915.625</v>
      </c>
      <c r="N26" s="1">
        <v>10915.625</v>
      </c>
      <c r="O26" s="3" t="s">
        <v>24</v>
      </c>
    </row>
    <row r="27" spans="1:15" ht="15.75" hidden="1" customHeight="1" x14ac:dyDescent="0.25">
      <c r="A27" s="5" t="s">
        <v>25</v>
      </c>
      <c r="B27" s="1">
        <v>9000</v>
      </c>
      <c r="C27" s="1">
        <v>750</v>
      </c>
      <c r="D27" s="1">
        <v>750</v>
      </c>
      <c r="E27" s="1">
        <v>750</v>
      </c>
      <c r="F27" s="1">
        <v>750</v>
      </c>
      <c r="G27" s="1">
        <v>750</v>
      </c>
      <c r="H27" s="1">
        <v>750</v>
      </c>
      <c r="I27" s="1">
        <v>750</v>
      </c>
      <c r="J27" s="1">
        <v>750</v>
      </c>
      <c r="K27" s="1">
        <v>750</v>
      </c>
      <c r="L27" s="1">
        <v>750</v>
      </c>
      <c r="M27" s="1">
        <v>750</v>
      </c>
      <c r="N27" s="1">
        <v>750</v>
      </c>
      <c r="O27" s="3" t="s">
        <v>26</v>
      </c>
    </row>
    <row r="28" spans="1:15" ht="15.75" hidden="1" customHeight="1" x14ac:dyDescent="0.25">
      <c r="A28" s="5" t="s">
        <v>27</v>
      </c>
      <c r="B28" s="1">
        <v>52395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53295</v>
      </c>
      <c r="O28" s="3" t="s">
        <v>28</v>
      </c>
    </row>
    <row r="29" spans="1:15" ht="15.75" hidden="1" customHeight="1" x14ac:dyDescent="0.25">
      <c r="A29" s="5" t="s">
        <v>29</v>
      </c>
      <c r="B29" s="4">
        <v>150000</v>
      </c>
      <c r="C29" s="4">
        <v>12500</v>
      </c>
      <c r="D29" s="4">
        <v>12500</v>
      </c>
      <c r="E29" s="4">
        <v>12500</v>
      </c>
      <c r="F29" s="4">
        <v>12500</v>
      </c>
      <c r="G29" s="4">
        <v>12500</v>
      </c>
      <c r="H29" s="4">
        <v>12500</v>
      </c>
      <c r="I29" s="4">
        <v>12500</v>
      </c>
      <c r="J29" s="4">
        <v>12500</v>
      </c>
      <c r="K29" s="4">
        <v>12500</v>
      </c>
      <c r="L29" s="4">
        <v>12500</v>
      </c>
      <c r="M29" s="4">
        <v>12500</v>
      </c>
      <c r="N29" s="4">
        <v>12500</v>
      </c>
      <c r="O29" s="3" t="s">
        <v>30</v>
      </c>
    </row>
    <row r="30" spans="1:15" ht="15.75" customHeight="1" x14ac:dyDescent="0.25">
      <c r="A30" s="5" t="s">
        <v>31</v>
      </c>
      <c r="B30" s="1">
        <f>SUM(B25:B29)</f>
        <v>866332.5</v>
      </c>
      <c r="C30" s="1">
        <f>SUM(C25:C29)</f>
        <v>67828.125</v>
      </c>
      <c r="D30" s="1">
        <f t="shared" ref="D30:N30" si="3">SUM(D25:D29)</f>
        <v>67828.125</v>
      </c>
      <c r="E30" s="1">
        <f t="shared" si="3"/>
        <v>67828.125</v>
      </c>
      <c r="F30" s="1">
        <f t="shared" si="3"/>
        <v>67828.125</v>
      </c>
      <c r="G30" s="1">
        <f t="shared" si="3"/>
        <v>67828.125</v>
      </c>
      <c r="H30" s="1">
        <f t="shared" si="3"/>
        <v>67828.125</v>
      </c>
      <c r="I30" s="1">
        <f t="shared" si="3"/>
        <v>67828.125</v>
      </c>
      <c r="J30" s="1">
        <f t="shared" si="3"/>
        <v>67828.125</v>
      </c>
      <c r="K30" s="1">
        <f t="shared" si="3"/>
        <v>67828.125</v>
      </c>
      <c r="L30" s="1">
        <f t="shared" si="3"/>
        <v>67828.125</v>
      </c>
      <c r="M30" s="1">
        <f t="shared" si="3"/>
        <v>67828.125</v>
      </c>
      <c r="N30" s="1">
        <f t="shared" si="3"/>
        <v>121123.125</v>
      </c>
    </row>
    <row r="31" spans="1:15" ht="15.75" customHeight="1" x14ac:dyDescent="0.25">
      <c r="A31" s="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5" ht="15.75" customHeight="1" x14ac:dyDescent="0.25">
      <c r="A32" s="5" t="s">
        <v>32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5" ht="15.75" customHeight="1" x14ac:dyDescent="0.25">
      <c r="A33" s="5" t="s">
        <v>33</v>
      </c>
      <c r="B33" s="1">
        <v>9000</v>
      </c>
      <c r="C33" s="1">
        <v>750</v>
      </c>
      <c r="D33" s="1">
        <v>750</v>
      </c>
      <c r="E33" s="1">
        <v>750</v>
      </c>
      <c r="F33" s="1">
        <v>750</v>
      </c>
      <c r="G33" s="1">
        <v>750</v>
      </c>
      <c r="H33" s="1">
        <v>750</v>
      </c>
      <c r="I33" s="1">
        <v>750</v>
      </c>
      <c r="J33" s="1">
        <v>750</v>
      </c>
      <c r="K33" s="1">
        <v>750</v>
      </c>
      <c r="L33" s="1">
        <v>750</v>
      </c>
      <c r="M33" s="1">
        <v>750</v>
      </c>
      <c r="N33" s="1">
        <v>750</v>
      </c>
      <c r="O33" s="3" t="s">
        <v>34</v>
      </c>
    </row>
    <row r="34" spans="1:15" ht="15.75" customHeight="1" x14ac:dyDescent="0.25">
      <c r="A34" s="5" t="s">
        <v>35</v>
      </c>
      <c r="B34" s="1">
        <v>4800</v>
      </c>
      <c r="C34" s="1">
        <v>400</v>
      </c>
      <c r="D34" s="1">
        <v>400</v>
      </c>
      <c r="E34" s="1">
        <v>400</v>
      </c>
      <c r="F34" s="1">
        <v>400</v>
      </c>
      <c r="G34" s="1">
        <v>400</v>
      </c>
      <c r="H34" s="1">
        <v>400</v>
      </c>
      <c r="I34" s="1">
        <v>400</v>
      </c>
      <c r="J34" s="1">
        <v>400</v>
      </c>
      <c r="K34" s="1">
        <v>400</v>
      </c>
      <c r="L34" s="1">
        <v>400</v>
      </c>
      <c r="M34" s="1">
        <v>400</v>
      </c>
      <c r="N34" s="1">
        <v>400</v>
      </c>
      <c r="O34" s="3" t="s">
        <v>36</v>
      </c>
    </row>
    <row r="35" spans="1:15" ht="15.75" customHeight="1" x14ac:dyDescent="0.25">
      <c r="A35" s="5" t="s">
        <v>37</v>
      </c>
      <c r="B35" s="1">
        <v>7500</v>
      </c>
      <c r="C35" s="1">
        <v>625</v>
      </c>
      <c r="D35" s="1">
        <v>625</v>
      </c>
      <c r="E35" s="1">
        <v>625</v>
      </c>
      <c r="F35" s="1">
        <v>625</v>
      </c>
      <c r="G35" s="1">
        <v>625</v>
      </c>
      <c r="H35" s="1">
        <v>625</v>
      </c>
      <c r="I35" s="1">
        <v>625</v>
      </c>
      <c r="J35" s="1">
        <v>625</v>
      </c>
      <c r="K35" s="1">
        <v>625</v>
      </c>
      <c r="L35" s="1">
        <v>625</v>
      </c>
      <c r="M35" s="1">
        <v>625</v>
      </c>
      <c r="N35" s="1">
        <v>625</v>
      </c>
      <c r="O35" s="3" t="s">
        <v>38</v>
      </c>
    </row>
    <row r="36" spans="1:15" ht="15.75" customHeight="1" x14ac:dyDescent="0.25">
      <c r="A36" s="5" t="s">
        <v>39</v>
      </c>
      <c r="B36" s="1">
        <v>5400</v>
      </c>
      <c r="C36" s="1">
        <v>450</v>
      </c>
      <c r="D36" s="1">
        <v>450</v>
      </c>
      <c r="E36" s="1">
        <v>450</v>
      </c>
      <c r="F36" s="1">
        <v>450</v>
      </c>
      <c r="G36" s="1">
        <v>450</v>
      </c>
      <c r="H36" s="1">
        <v>450</v>
      </c>
      <c r="I36" s="1">
        <v>450</v>
      </c>
      <c r="J36" s="1">
        <v>450</v>
      </c>
      <c r="K36" s="1">
        <v>450</v>
      </c>
      <c r="L36" s="1">
        <v>450</v>
      </c>
      <c r="M36" s="1">
        <v>450</v>
      </c>
      <c r="N36" s="1">
        <v>450</v>
      </c>
      <c r="O36" s="3" t="s">
        <v>40</v>
      </c>
    </row>
    <row r="37" spans="1:15" ht="15.75" customHeight="1" x14ac:dyDescent="0.25">
      <c r="A37" s="5" t="s">
        <v>41</v>
      </c>
      <c r="B37" s="1">
        <v>600</v>
      </c>
      <c r="C37" s="1">
        <v>50</v>
      </c>
      <c r="D37" s="1">
        <v>50</v>
      </c>
      <c r="E37" s="1">
        <v>50</v>
      </c>
      <c r="F37" s="1">
        <v>50</v>
      </c>
      <c r="G37" s="1">
        <v>50</v>
      </c>
      <c r="H37" s="1">
        <v>50</v>
      </c>
      <c r="I37" s="1">
        <v>50</v>
      </c>
      <c r="J37" s="1">
        <v>50</v>
      </c>
      <c r="K37" s="1">
        <v>50</v>
      </c>
      <c r="L37" s="1">
        <v>50</v>
      </c>
      <c r="M37" s="1">
        <v>50</v>
      </c>
      <c r="N37" s="1">
        <v>50</v>
      </c>
      <c r="O37" s="3" t="s">
        <v>42</v>
      </c>
    </row>
    <row r="38" spans="1:15" ht="15.75" customHeight="1" x14ac:dyDescent="0.25">
      <c r="A38" s="5" t="s">
        <v>43</v>
      </c>
      <c r="B38" s="1">
        <v>7200</v>
      </c>
      <c r="C38" s="1">
        <v>600</v>
      </c>
      <c r="D38" s="1">
        <v>600</v>
      </c>
      <c r="E38" s="1">
        <v>600</v>
      </c>
      <c r="F38" s="1">
        <v>600</v>
      </c>
      <c r="G38" s="1">
        <v>600</v>
      </c>
      <c r="H38" s="1">
        <v>600</v>
      </c>
      <c r="I38" s="1">
        <v>600</v>
      </c>
      <c r="J38" s="1">
        <v>600</v>
      </c>
      <c r="K38" s="1">
        <v>600</v>
      </c>
      <c r="L38" s="1">
        <v>600</v>
      </c>
      <c r="M38" s="1">
        <v>600</v>
      </c>
      <c r="N38" s="1">
        <v>600</v>
      </c>
      <c r="O38" s="3" t="s">
        <v>79</v>
      </c>
    </row>
    <row r="39" spans="1:15" ht="15.75" customHeight="1" x14ac:dyDescent="0.25">
      <c r="A39" s="5" t="s">
        <v>45</v>
      </c>
      <c r="B39" s="1">
        <v>3600</v>
      </c>
      <c r="C39" s="1">
        <v>300</v>
      </c>
      <c r="D39" s="1">
        <v>300</v>
      </c>
      <c r="E39" s="1">
        <v>300</v>
      </c>
      <c r="F39" s="1">
        <v>300</v>
      </c>
      <c r="G39" s="1">
        <v>300</v>
      </c>
      <c r="H39" s="1">
        <v>300</v>
      </c>
      <c r="I39" s="1">
        <v>300</v>
      </c>
      <c r="J39" s="1">
        <v>300</v>
      </c>
      <c r="K39" s="1">
        <v>300</v>
      </c>
      <c r="L39" s="1">
        <v>300</v>
      </c>
      <c r="M39" s="1">
        <v>300</v>
      </c>
      <c r="N39" s="1">
        <v>300</v>
      </c>
      <c r="O39" s="3" t="s">
        <v>82</v>
      </c>
    </row>
    <row r="40" spans="1:15" ht="15.75" customHeight="1" x14ac:dyDescent="0.25">
      <c r="A40" s="5" t="s">
        <v>46</v>
      </c>
      <c r="B40" s="1">
        <v>9000</v>
      </c>
      <c r="C40" s="1">
        <v>750</v>
      </c>
      <c r="D40" s="1">
        <v>750</v>
      </c>
      <c r="E40" s="1">
        <v>750</v>
      </c>
      <c r="F40" s="1">
        <v>750</v>
      </c>
      <c r="G40" s="1">
        <v>750</v>
      </c>
      <c r="H40" s="1">
        <v>750</v>
      </c>
      <c r="I40" s="1">
        <v>750</v>
      </c>
      <c r="J40" s="1">
        <v>750</v>
      </c>
      <c r="K40" s="1">
        <v>750</v>
      </c>
      <c r="L40" s="1">
        <v>750</v>
      </c>
      <c r="M40" s="1">
        <v>750</v>
      </c>
      <c r="N40" s="1">
        <v>750</v>
      </c>
      <c r="O40" s="3" t="s">
        <v>47</v>
      </c>
    </row>
    <row r="41" spans="1:15" ht="15.75" customHeight="1" x14ac:dyDescent="0.25">
      <c r="A41" s="5" t="s">
        <v>48</v>
      </c>
      <c r="B41" s="1">
        <v>6000</v>
      </c>
      <c r="C41" s="1">
        <v>500</v>
      </c>
      <c r="D41" s="1">
        <v>500</v>
      </c>
      <c r="E41" s="1">
        <v>500</v>
      </c>
      <c r="F41" s="1">
        <v>500</v>
      </c>
      <c r="G41" s="1">
        <v>500</v>
      </c>
      <c r="H41" s="1">
        <v>500</v>
      </c>
      <c r="I41" s="1">
        <v>500</v>
      </c>
      <c r="J41" s="1">
        <v>500</v>
      </c>
      <c r="K41" s="1">
        <v>500</v>
      </c>
      <c r="L41" s="1">
        <v>500</v>
      </c>
      <c r="M41" s="1">
        <v>500</v>
      </c>
      <c r="N41" s="1">
        <v>500</v>
      </c>
      <c r="O41" s="3" t="s">
        <v>49</v>
      </c>
    </row>
    <row r="42" spans="1:15" ht="15.75" customHeight="1" x14ac:dyDescent="0.25">
      <c r="A42" s="5" t="s">
        <v>50</v>
      </c>
      <c r="B42" s="1">
        <v>17800</v>
      </c>
      <c r="C42" s="1">
        <v>1483</v>
      </c>
      <c r="D42" s="1">
        <v>1483</v>
      </c>
      <c r="E42" s="1">
        <v>1483</v>
      </c>
      <c r="F42" s="1">
        <v>1483</v>
      </c>
      <c r="G42" s="1">
        <v>1483</v>
      </c>
      <c r="H42" s="1">
        <v>1483</v>
      </c>
      <c r="I42" s="1">
        <v>1483</v>
      </c>
      <c r="J42" s="1">
        <v>1483</v>
      </c>
      <c r="K42" s="1">
        <v>1483</v>
      </c>
      <c r="L42" s="1">
        <v>1483</v>
      </c>
      <c r="M42" s="1">
        <v>1483</v>
      </c>
      <c r="N42" s="1">
        <v>1487</v>
      </c>
      <c r="O42" s="3" t="s">
        <v>51</v>
      </c>
    </row>
    <row r="43" spans="1:15" ht="15.75" customHeight="1" x14ac:dyDescent="0.25">
      <c r="A43" s="5" t="s">
        <v>78</v>
      </c>
      <c r="B43" s="1">
        <v>24000</v>
      </c>
      <c r="C43" s="1">
        <v>2000</v>
      </c>
      <c r="D43" s="1">
        <v>2000</v>
      </c>
      <c r="E43" s="1">
        <v>2000</v>
      </c>
      <c r="F43" s="1">
        <v>2000</v>
      </c>
      <c r="G43" s="1">
        <v>2000</v>
      </c>
      <c r="H43" s="1">
        <v>2000</v>
      </c>
      <c r="I43" s="1">
        <v>2000</v>
      </c>
      <c r="J43" s="1">
        <v>2000</v>
      </c>
      <c r="K43" s="1">
        <v>2000</v>
      </c>
      <c r="L43" s="1">
        <v>2000</v>
      </c>
      <c r="M43" s="1">
        <v>2000</v>
      </c>
      <c r="N43" s="1">
        <v>2000</v>
      </c>
      <c r="O43" s="3" t="s">
        <v>53</v>
      </c>
    </row>
    <row r="44" spans="1:15" ht="15.75" customHeight="1" x14ac:dyDescent="0.25">
      <c r="A44" s="5" t="s">
        <v>118</v>
      </c>
      <c r="B44" s="1">
        <v>24000</v>
      </c>
      <c r="C44" s="1">
        <v>2000</v>
      </c>
      <c r="D44" s="1">
        <v>2000</v>
      </c>
      <c r="E44" s="1">
        <v>2000</v>
      </c>
      <c r="F44" s="1">
        <v>2000</v>
      </c>
      <c r="G44" s="1">
        <v>2000</v>
      </c>
      <c r="H44" s="1">
        <v>2000</v>
      </c>
      <c r="I44" s="1">
        <v>2000</v>
      </c>
      <c r="J44" s="1">
        <v>2000</v>
      </c>
      <c r="K44" s="1">
        <v>2000</v>
      </c>
      <c r="L44" s="1">
        <v>2000</v>
      </c>
      <c r="M44" s="1">
        <v>2000</v>
      </c>
      <c r="N44" s="1">
        <v>2000</v>
      </c>
      <c r="O44" s="3" t="s">
        <v>53</v>
      </c>
    </row>
    <row r="45" spans="1:15" ht="15.75" customHeight="1" x14ac:dyDescent="0.25">
      <c r="A45" s="5" t="s">
        <v>52</v>
      </c>
      <c r="B45" s="1">
        <v>480</v>
      </c>
      <c r="C45" s="1">
        <v>40</v>
      </c>
      <c r="D45" s="1">
        <v>40</v>
      </c>
      <c r="E45" s="1">
        <v>40</v>
      </c>
      <c r="F45" s="1">
        <v>40</v>
      </c>
      <c r="G45" s="1">
        <v>40</v>
      </c>
      <c r="H45" s="1">
        <v>40</v>
      </c>
      <c r="I45" s="1">
        <v>40</v>
      </c>
      <c r="J45" s="1">
        <v>40</v>
      </c>
      <c r="K45" s="1">
        <v>40</v>
      </c>
      <c r="L45" s="1">
        <v>40</v>
      </c>
      <c r="M45" s="1">
        <v>40</v>
      </c>
      <c r="N45" s="1">
        <v>40</v>
      </c>
      <c r="O45" s="3" t="s">
        <v>55</v>
      </c>
    </row>
    <row r="46" spans="1:15" ht="15.75" customHeight="1" x14ac:dyDescent="0.25">
      <c r="A46" s="5" t="s">
        <v>54</v>
      </c>
      <c r="B46" s="1">
        <v>36000</v>
      </c>
      <c r="C46" s="1">
        <v>3000</v>
      </c>
      <c r="D46" s="1">
        <v>3000</v>
      </c>
      <c r="E46" s="1">
        <v>3000</v>
      </c>
      <c r="F46" s="1">
        <v>3000</v>
      </c>
      <c r="G46" s="1">
        <v>3000</v>
      </c>
      <c r="H46" s="1">
        <v>3000</v>
      </c>
      <c r="I46" s="1">
        <v>3000</v>
      </c>
      <c r="J46" s="1">
        <v>3000</v>
      </c>
      <c r="K46" s="1">
        <v>3000</v>
      </c>
      <c r="L46" s="1">
        <v>3000</v>
      </c>
      <c r="M46" s="1">
        <v>3000</v>
      </c>
      <c r="N46" s="1">
        <v>3000</v>
      </c>
      <c r="O46" s="3" t="s">
        <v>57</v>
      </c>
    </row>
    <row r="47" spans="1:15" ht="15.75" customHeight="1" x14ac:dyDescent="0.25">
      <c r="A47" s="5" t="s">
        <v>56</v>
      </c>
      <c r="B47" s="1">
        <v>3780</v>
      </c>
      <c r="C47" s="1">
        <v>315</v>
      </c>
      <c r="D47" s="1">
        <v>315</v>
      </c>
      <c r="E47" s="1">
        <v>315</v>
      </c>
      <c r="F47" s="1">
        <v>315</v>
      </c>
      <c r="G47" s="1">
        <v>315</v>
      </c>
      <c r="H47" s="1">
        <v>315</v>
      </c>
      <c r="I47" s="1">
        <v>315</v>
      </c>
      <c r="J47" s="1">
        <v>315</v>
      </c>
      <c r="K47" s="1">
        <v>315</v>
      </c>
      <c r="L47" s="1">
        <v>315</v>
      </c>
      <c r="M47" s="1">
        <v>315</v>
      </c>
      <c r="N47" s="1">
        <v>315</v>
      </c>
      <c r="O47" s="3" t="s">
        <v>59</v>
      </c>
    </row>
    <row r="48" spans="1:15" ht="15.75" customHeight="1" x14ac:dyDescent="0.25">
      <c r="A48" s="5" t="s">
        <v>58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3" t="s">
        <v>61</v>
      </c>
    </row>
    <row r="49" spans="1:15" ht="15.75" customHeight="1" x14ac:dyDescent="0.25">
      <c r="A49" s="5" t="s">
        <v>60</v>
      </c>
      <c r="B49" s="4">
        <v>-280130.64</v>
      </c>
      <c r="C49" s="4">
        <v>-25887.22</v>
      </c>
      <c r="D49" s="4">
        <v>-25874.789999999997</v>
      </c>
      <c r="E49" s="4">
        <v>-25976.600000000002</v>
      </c>
      <c r="F49" s="4">
        <v>-31200.959999999999</v>
      </c>
      <c r="G49" s="4">
        <v>-31539.32</v>
      </c>
      <c r="H49" s="4">
        <v>-31445.75</v>
      </c>
      <c r="I49" s="4">
        <v>-24857.57</v>
      </c>
      <c r="J49" s="4">
        <v>-23924.620000000003</v>
      </c>
      <c r="K49" s="4">
        <v>-24018.510000000002</v>
      </c>
      <c r="L49" s="4">
        <v>-11755.439999999999</v>
      </c>
      <c r="M49" s="4">
        <v>-11801.42</v>
      </c>
      <c r="N49" s="4">
        <v>-11848.44</v>
      </c>
    </row>
    <row r="50" spans="1:15" ht="15.75" customHeight="1" x14ac:dyDescent="0.25">
      <c r="A50" s="5" t="s">
        <v>31</v>
      </c>
      <c r="B50" s="1">
        <f>SUM(B33:B49)</f>
        <v>-120970.64000000001</v>
      </c>
      <c r="C50" s="1">
        <f t="shared" ref="C50:N50" si="4">SUM(C33:C49)</f>
        <v>-12624.220000000001</v>
      </c>
      <c r="D50" s="1">
        <f t="shared" si="4"/>
        <v>-12611.789999999997</v>
      </c>
      <c r="E50" s="1">
        <f t="shared" si="4"/>
        <v>-12713.600000000002</v>
      </c>
      <c r="F50" s="1">
        <f t="shared" si="4"/>
        <v>-17937.96</v>
      </c>
      <c r="G50" s="1">
        <f t="shared" si="4"/>
        <v>-18276.32</v>
      </c>
      <c r="H50" s="1">
        <f t="shared" si="4"/>
        <v>-18182.75</v>
      </c>
      <c r="I50" s="1">
        <f t="shared" si="4"/>
        <v>-11594.57</v>
      </c>
      <c r="J50" s="1">
        <f t="shared" si="4"/>
        <v>-10661.620000000003</v>
      </c>
      <c r="K50" s="1">
        <f t="shared" si="4"/>
        <v>-10755.510000000002</v>
      </c>
      <c r="L50" s="1">
        <f t="shared" si="4"/>
        <v>1507.5600000000013</v>
      </c>
      <c r="M50" s="1">
        <f t="shared" si="4"/>
        <v>1461.58</v>
      </c>
      <c r="N50" s="1">
        <f t="shared" si="4"/>
        <v>1418.5599999999995</v>
      </c>
      <c r="O50" s="3" t="s">
        <v>1</v>
      </c>
    </row>
    <row r="51" spans="1:15" ht="15.75" customHeight="1" x14ac:dyDescent="0.25">
      <c r="A51" s="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3" t="s">
        <v>1</v>
      </c>
    </row>
    <row r="52" spans="1:15" ht="15.75" customHeight="1" x14ac:dyDescent="0.25">
      <c r="A52" s="5" t="s">
        <v>62</v>
      </c>
      <c r="B52" s="4">
        <f>B30+B50</f>
        <v>745361.86</v>
      </c>
      <c r="C52" s="4">
        <f>C30+C50</f>
        <v>55203.904999999999</v>
      </c>
      <c r="D52" s="4">
        <f t="shared" ref="D52:N52" si="5">D30+D50</f>
        <v>55216.335000000006</v>
      </c>
      <c r="E52" s="4">
        <f t="shared" si="5"/>
        <v>55114.524999999994</v>
      </c>
      <c r="F52" s="4">
        <f t="shared" si="5"/>
        <v>49890.165000000001</v>
      </c>
      <c r="G52" s="4">
        <f t="shared" si="5"/>
        <v>49551.805</v>
      </c>
      <c r="H52" s="4">
        <f t="shared" si="5"/>
        <v>49645.375</v>
      </c>
      <c r="I52" s="4">
        <f t="shared" si="5"/>
        <v>56233.555</v>
      </c>
      <c r="J52" s="4">
        <f t="shared" si="5"/>
        <v>57166.504999999997</v>
      </c>
      <c r="K52" s="4">
        <f t="shared" si="5"/>
        <v>57072.614999999998</v>
      </c>
      <c r="L52" s="4">
        <f t="shared" si="5"/>
        <v>69335.684999999998</v>
      </c>
      <c r="M52" s="4">
        <f t="shared" si="5"/>
        <v>69289.705000000002</v>
      </c>
      <c r="N52" s="4">
        <f t="shared" si="5"/>
        <v>122541.685</v>
      </c>
      <c r="O52" s="3" t="s">
        <v>1</v>
      </c>
    </row>
    <row r="53" spans="1:15" ht="15.75" customHeight="1" x14ac:dyDescent="0.25">
      <c r="A53" s="5" t="s">
        <v>1</v>
      </c>
      <c r="B53" s="1"/>
      <c r="C53" s="1" t="s">
        <v>1</v>
      </c>
      <c r="D53" s="1" t="s">
        <v>1</v>
      </c>
      <c r="E53" s="1" t="s">
        <v>1</v>
      </c>
      <c r="F53" s="1" t="s">
        <v>1</v>
      </c>
      <c r="G53" s="1" t="s">
        <v>1</v>
      </c>
      <c r="H53" s="1" t="s">
        <v>1</v>
      </c>
      <c r="I53" s="1" t="s">
        <v>1</v>
      </c>
      <c r="J53" s="1" t="s">
        <v>1</v>
      </c>
      <c r="K53" s="1" t="s">
        <v>1</v>
      </c>
      <c r="L53" s="1" t="s">
        <v>1</v>
      </c>
      <c r="M53" s="1" t="s">
        <v>1</v>
      </c>
      <c r="N53" s="1" t="s">
        <v>1</v>
      </c>
      <c r="O53" s="3" t="s">
        <v>1</v>
      </c>
    </row>
    <row r="54" spans="1:15" ht="15.75" customHeight="1" x14ac:dyDescent="0.25">
      <c r="A54" s="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3" t="s">
        <v>1</v>
      </c>
    </row>
    <row r="55" spans="1:15" ht="15.75" customHeight="1" x14ac:dyDescent="0.25">
      <c r="A55" s="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" t="s">
        <v>1</v>
      </c>
    </row>
    <row r="56" spans="1:15" ht="15.75" customHeight="1" x14ac:dyDescent="0.25">
      <c r="A56" s="5" t="s">
        <v>64</v>
      </c>
      <c r="B56" s="1"/>
      <c r="C56" s="1">
        <f>C23-C52</f>
        <v>273627.90500000003</v>
      </c>
      <c r="D56" s="1">
        <f t="shared" ref="D56:N56" si="6">D23-D52</f>
        <v>293411.57</v>
      </c>
      <c r="E56" s="1">
        <f t="shared" si="6"/>
        <v>238297.04500000001</v>
      </c>
      <c r="F56" s="1">
        <f t="shared" si="6"/>
        <v>263406.88000000006</v>
      </c>
      <c r="G56" s="1">
        <f t="shared" si="6"/>
        <v>213855.07500000007</v>
      </c>
      <c r="H56" s="1">
        <f t="shared" si="6"/>
        <v>264209.70000000007</v>
      </c>
      <c r="I56" s="1">
        <f t="shared" si="6"/>
        <v>207976.14500000008</v>
      </c>
      <c r="J56" s="1">
        <f t="shared" si="6"/>
        <v>250809.64000000007</v>
      </c>
      <c r="K56" s="1">
        <f t="shared" si="6"/>
        <v>193737.02500000008</v>
      </c>
      <c r="L56" s="1">
        <f t="shared" si="6"/>
        <v>224401.34000000008</v>
      </c>
      <c r="M56" s="1">
        <f t="shared" si="6"/>
        <v>230111.63500000007</v>
      </c>
      <c r="N56" s="1">
        <f t="shared" si="6"/>
        <v>182569.95000000007</v>
      </c>
      <c r="O56" s="3" t="s">
        <v>1</v>
      </c>
    </row>
    <row r="57" spans="1:15" ht="15.75" customHeight="1" x14ac:dyDescent="0.25">
      <c r="A57" s="5"/>
    </row>
    <row r="58" spans="1:15" ht="15.75" customHeight="1" x14ac:dyDescent="0.25">
      <c r="A58" s="5" t="s">
        <v>65</v>
      </c>
    </row>
    <row r="59" spans="1:15" ht="15.75" customHeight="1" x14ac:dyDescent="0.25">
      <c r="A59" s="5" t="s">
        <v>66</v>
      </c>
      <c r="B59" s="1">
        <v>75000</v>
      </c>
      <c r="C59" t="s">
        <v>67</v>
      </c>
    </row>
    <row r="60" spans="1:15" ht="15.75" customHeight="1" x14ac:dyDescent="0.25">
      <c r="A60" s="5" t="s">
        <v>68</v>
      </c>
      <c r="B60" s="1">
        <v>75000</v>
      </c>
      <c r="C60" t="s">
        <v>69</v>
      </c>
    </row>
    <row r="61" spans="1:15" ht="15.75" customHeight="1" x14ac:dyDescent="0.25">
      <c r="A61" s="5" t="s">
        <v>70</v>
      </c>
      <c r="B61" s="1">
        <v>75000</v>
      </c>
      <c r="C61" t="s">
        <v>69</v>
      </c>
    </row>
    <row r="62" spans="1:15" ht="15.75" customHeight="1" x14ac:dyDescent="0.25">
      <c r="A62" s="5" t="s">
        <v>71</v>
      </c>
      <c r="B62" s="1">
        <v>100000</v>
      </c>
      <c r="C62" t="s">
        <v>69</v>
      </c>
    </row>
    <row r="63" spans="1:15" ht="15.75" customHeight="1" x14ac:dyDescent="0.25">
      <c r="A63" s="5" t="s">
        <v>72</v>
      </c>
      <c r="B63" s="1">
        <v>100000</v>
      </c>
      <c r="C63" t="s">
        <v>69</v>
      </c>
    </row>
    <row r="64" spans="1:15" ht="15.75" customHeight="1" x14ac:dyDescent="0.25">
      <c r="A64" s="5" t="s">
        <v>73</v>
      </c>
      <c r="B64" s="1">
        <v>100000</v>
      </c>
      <c r="C64" t="s">
        <v>74</v>
      </c>
      <c r="O64" s="3" t="s">
        <v>1</v>
      </c>
    </row>
    <row r="65" spans="1:15" ht="15.75" customHeight="1" x14ac:dyDescent="0.25">
      <c r="A65" s="5" t="s">
        <v>75</v>
      </c>
      <c r="B65" s="1">
        <v>75000</v>
      </c>
      <c r="C65" t="s">
        <v>67</v>
      </c>
      <c r="O65" s="3" t="s">
        <v>1</v>
      </c>
    </row>
    <row r="66" spans="1:15" ht="15.75" customHeight="1" x14ac:dyDescent="0.25">
      <c r="A66" s="5" t="s">
        <v>76</v>
      </c>
      <c r="B66" s="1">
        <v>75000</v>
      </c>
      <c r="C66" t="s">
        <v>77</v>
      </c>
    </row>
    <row r="67" spans="1:15" x14ac:dyDescent="0.25">
      <c r="A67" s="5"/>
    </row>
  </sheetData>
  <pageMargins left="0.7" right="0.7" top="0.75" bottom="0.75" header="0.3" footer="0.3"/>
  <pageSetup scale="5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69"/>
  <sheetViews>
    <sheetView workbookViewId="0">
      <pane xSplit="1" ySplit="17" topLeftCell="B39" activePane="bottomRight" state="frozen"/>
      <selection activeCell="A27" sqref="A27"/>
      <selection pane="topRight" activeCell="A27" sqref="A27"/>
      <selection pane="bottomLeft" activeCell="A27" sqref="A27"/>
      <selection pane="bottomRight" activeCell="A27" sqref="A27"/>
    </sheetView>
  </sheetViews>
  <sheetFormatPr defaultRowHeight="15" x14ac:dyDescent="0.25"/>
  <cols>
    <col min="1" max="1" width="38.85546875" bestFit="1" customWidth="1"/>
    <col min="2" max="2" width="13.28515625" bestFit="1" customWidth="1"/>
    <col min="3" max="3" width="10" bestFit="1" customWidth="1"/>
    <col min="4" max="7" width="9.7109375" bestFit="1" customWidth="1"/>
    <col min="8" max="14" width="10.7109375" bestFit="1" customWidth="1"/>
    <col min="15" max="15" width="11.5703125" bestFit="1" customWidth="1"/>
    <col min="16" max="16" width="22.42578125" style="3" customWidth="1"/>
    <col min="17" max="17" width="1.42578125" bestFit="1" customWidth="1"/>
  </cols>
  <sheetData>
    <row r="2" spans="1:16" ht="15.75" x14ac:dyDescent="0.25">
      <c r="A2" s="8" t="s">
        <v>0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/>
    </row>
    <row r="3" spans="1:16" ht="15.75" x14ac:dyDescent="0.25">
      <c r="A3" s="8" t="str">
        <f>'Budget Summary'!A3</f>
        <v>2009 Operating Budget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6" ht="15.75" x14ac:dyDescent="0.25">
      <c r="A4" s="14" t="s">
        <v>83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</row>
    <row r="5" spans="1:16" ht="15.75" x14ac:dyDescent="0.25">
      <c r="A5" s="12"/>
      <c r="B5" s="6" t="s">
        <v>2</v>
      </c>
      <c r="C5" s="7">
        <f>'Budget Summary'!C5</f>
        <v>39814</v>
      </c>
      <c r="D5" s="7">
        <f>C5+31</f>
        <v>39845</v>
      </c>
      <c r="E5" s="7">
        <f t="shared" ref="E5:N5" si="0">D5+31</f>
        <v>39876</v>
      </c>
      <c r="F5" s="7">
        <f t="shared" si="0"/>
        <v>39907</v>
      </c>
      <c r="G5" s="7">
        <f t="shared" si="0"/>
        <v>39938</v>
      </c>
      <c r="H5" s="7">
        <f t="shared" si="0"/>
        <v>39969</v>
      </c>
      <c r="I5" s="7">
        <f t="shared" si="0"/>
        <v>40000</v>
      </c>
      <c r="J5" s="7">
        <f t="shared" si="0"/>
        <v>40031</v>
      </c>
      <c r="K5" s="7">
        <f t="shared" si="0"/>
        <v>40062</v>
      </c>
      <c r="L5" s="7">
        <f t="shared" si="0"/>
        <v>40093</v>
      </c>
      <c r="M5" s="7">
        <f t="shared" si="0"/>
        <v>40124</v>
      </c>
      <c r="N5" s="7">
        <f t="shared" si="0"/>
        <v>40155</v>
      </c>
      <c r="O5" s="13" t="s">
        <v>62</v>
      </c>
      <c r="P5" s="2" t="s">
        <v>3</v>
      </c>
    </row>
    <row r="6" spans="1:16" hidden="1" x14ac:dyDescent="0.25">
      <c r="A6" t="s">
        <v>80</v>
      </c>
    </row>
    <row r="7" spans="1:16" hidden="1" x14ac:dyDescent="0.25">
      <c r="A7" t="s">
        <v>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136950</v>
      </c>
    </row>
    <row r="8" spans="1:16" hidden="1" x14ac:dyDescent="0.25">
      <c r="A8" t="s">
        <v>5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126000</v>
      </c>
    </row>
    <row r="9" spans="1:16" hidden="1" x14ac:dyDescent="0.25">
      <c r="A9" t="s">
        <v>6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126000</v>
      </c>
    </row>
    <row r="10" spans="1:16" hidden="1" x14ac:dyDescent="0.25">
      <c r="A10" t="s">
        <v>7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</row>
    <row r="11" spans="1:16" hidden="1" x14ac:dyDescent="0.25">
      <c r="A11" t="s">
        <v>8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40000</v>
      </c>
    </row>
    <row r="12" spans="1:16" hidden="1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</row>
    <row r="13" spans="1:16" hidden="1" x14ac:dyDescent="0.25">
      <c r="A13" t="s">
        <v>10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55000.000000000007</v>
      </c>
    </row>
    <row r="14" spans="1:16" hidden="1" x14ac:dyDescent="0.25">
      <c r="A14" t="s">
        <v>11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6" hidden="1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6" hidden="1" x14ac:dyDescent="0.25">
      <c r="A16" t="s">
        <v>13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40000</v>
      </c>
    </row>
    <row r="17" spans="1:19" hidden="1" x14ac:dyDescent="0.25">
      <c r="A17" t="s">
        <v>14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</row>
    <row r="18" spans="1:19" ht="15.75" customHeight="1" x14ac:dyDescent="0.25">
      <c r="A18" t="s">
        <v>93</v>
      </c>
      <c r="O18" t="s">
        <v>1</v>
      </c>
    </row>
    <row r="19" spans="1:19" ht="15.75" customHeight="1" x14ac:dyDescent="0.25">
      <c r="A19" t="s">
        <v>98</v>
      </c>
      <c r="B19" s="19">
        <f>SUM(C19:N19)</f>
        <v>9950477</v>
      </c>
      <c r="C19" s="19">
        <f>72838+R28</f>
        <v>792336.25</v>
      </c>
      <c r="D19" s="19">
        <f>C19</f>
        <v>792336.25</v>
      </c>
      <c r="E19" s="19">
        <f>D19</f>
        <v>792336.25</v>
      </c>
      <c r="F19" s="19">
        <f>E19</f>
        <v>792336.25</v>
      </c>
      <c r="G19" s="19">
        <f>F19</f>
        <v>792336.25</v>
      </c>
      <c r="H19" s="19">
        <f>136044+R28</f>
        <v>855542.25</v>
      </c>
      <c r="I19" s="19">
        <f t="shared" ref="I19:N19" si="1">H19</f>
        <v>855542.25</v>
      </c>
      <c r="J19" s="19">
        <f t="shared" si="1"/>
        <v>855542.25</v>
      </c>
      <c r="K19" s="19">
        <f t="shared" si="1"/>
        <v>855542.25</v>
      </c>
      <c r="L19" s="19">
        <f t="shared" si="1"/>
        <v>855542.25</v>
      </c>
      <c r="M19" s="19">
        <f t="shared" si="1"/>
        <v>855542.25</v>
      </c>
      <c r="N19" s="19">
        <f t="shared" si="1"/>
        <v>855542.25</v>
      </c>
      <c r="P19" s="3" t="s">
        <v>119</v>
      </c>
    </row>
    <row r="20" spans="1:19" ht="15.75" customHeight="1" x14ac:dyDescent="0.25">
      <c r="A20" t="s">
        <v>104</v>
      </c>
    </row>
    <row r="21" spans="1:19" ht="15.75" customHeight="1" x14ac:dyDescent="0.25">
      <c r="A21" t="s">
        <v>116</v>
      </c>
    </row>
    <row r="22" spans="1:19" ht="15.75" customHeight="1" x14ac:dyDescent="0.25">
      <c r="A22" t="s">
        <v>86</v>
      </c>
    </row>
    <row r="23" spans="1:19" ht="15.75" customHeight="1" x14ac:dyDescent="0.25">
      <c r="A23" t="s">
        <v>87</v>
      </c>
      <c r="B23" s="1"/>
    </row>
    <row r="24" spans="1:19" ht="15.75" customHeight="1" x14ac:dyDescent="0.25">
      <c r="A24" t="s">
        <v>88</v>
      </c>
      <c r="B24" s="1"/>
    </row>
    <row r="25" spans="1:19" ht="15.75" customHeight="1" x14ac:dyDescent="0.25">
      <c r="A25" t="s">
        <v>105</v>
      </c>
      <c r="B25" s="1"/>
    </row>
    <row r="26" spans="1:19" ht="15.75" customHeight="1" x14ac:dyDescent="0.25">
      <c r="A26" t="s">
        <v>106</v>
      </c>
      <c r="B26" s="1"/>
    </row>
    <row r="27" spans="1:19" ht="15.75" customHeight="1" x14ac:dyDescent="0.25">
      <c r="A27" t="s">
        <v>107</v>
      </c>
      <c r="B27" s="4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19" ht="15.75" customHeight="1" x14ac:dyDescent="0.25">
      <c r="A28" t="s">
        <v>94</v>
      </c>
      <c r="B28" s="37">
        <f>SUM(B19:B27)</f>
        <v>9950477</v>
      </c>
      <c r="C28" s="37">
        <f>SUM(C19:C27)</f>
        <v>792336.25</v>
      </c>
      <c r="D28" s="37">
        <f t="shared" ref="D28:N28" si="2">SUM(D19:D27)</f>
        <v>792336.25</v>
      </c>
      <c r="E28" s="37">
        <f t="shared" si="2"/>
        <v>792336.25</v>
      </c>
      <c r="F28" s="37">
        <f t="shared" si="2"/>
        <v>792336.25</v>
      </c>
      <c r="G28" s="37">
        <f t="shared" si="2"/>
        <v>792336.25</v>
      </c>
      <c r="H28" s="37">
        <f t="shared" si="2"/>
        <v>855542.25</v>
      </c>
      <c r="I28" s="37">
        <f t="shared" si="2"/>
        <v>855542.25</v>
      </c>
      <c r="J28" s="37">
        <f t="shared" si="2"/>
        <v>855542.25</v>
      </c>
      <c r="K28" s="37">
        <f t="shared" si="2"/>
        <v>855542.25</v>
      </c>
      <c r="L28" s="37">
        <f t="shared" si="2"/>
        <v>855542.25</v>
      </c>
      <c r="M28" s="37">
        <f t="shared" si="2"/>
        <v>855542.25</v>
      </c>
      <c r="N28" s="37">
        <f t="shared" si="2"/>
        <v>855542.25</v>
      </c>
      <c r="R28" s="36">
        <f>(5633979+3000000)/12</f>
        <v>719498.25</v>
      </c>
      <c r="S28" t="s">
        <v>124</v>
      </c>
    </row>
    <row r="29" spans="1:19" ht="15.75" customHeight="1" x14ac:dyDescent="0.2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9" ht="15.75" customHeight="1" x14ac:dyDescent="0.25">
      <c r="A30" t="s">
        <v>96</v>
      </c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9" ht="15.75" customHeight="1" x14ac:dyDescent="0.25">
      <c r="A31" t="s">
        <v>95</v>
      </c>
      <c r="B31" s="4">
        <f>SUM(C27:N27)</f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</row>
    <row r="32" spans="1:19" ht="15.75" customHeight="1" x14ac:dyDescent="0.25">
      <c r="A32" t="s">
        <v>97</v>
      </c>
      <c r="B32" s="19">
        <f>B28-B31</f>
        <v>9950477</v>
      </c>
      <c r="C32" s="19">
        <f t="shared" ref="C32:N32" si="3">C28-C31</f>
        <v>792336.25</v>
      </c>
      <c r="D32" s="19">
        <f t="shared" si="3"/>
        <v>792336.25</v>
      </c>
      <c r="E32" s="19">
        <f t="shared" si="3"/>
        <v>792336.25</v>
      </c>
      <c r="F32" s="19">
        <f t="shared" si="3"/>
        <v>792336.25</v>
      </c>
      <c r="G32" s="19">
        <f t="shared" si="3"/>
        <v>792336.25</v>
      </c>
      <c r="H32" s="19">
        <f t="shared" si="3"/>
        <v>855542.25</v>
      </c>
      <c r="I32" s="19">
        <f t="shared" si="3"/>
        <v>855542.25</v>
      </c>
      <c r="J32" s="19">
        <f t="shared" si="3"/>
        <v>855542.25</v>
      </c>
      <c r="K32" s="19">
        <f t="shared" si="3"/>
        <v>855542.25</v>
      </c>
      <c r="L32" s="19">
        <f t="shared" si="3"/>
        <v>855542.25</v>
      </c>
      <c r="M32" s="19">
        <f t="shared" si="3"/>
        <v>855542.25</v>
      </c>
      <c r="N32" s="19">
        <f t="shared" si="3"/>
        <v>855542.25</v>
      </c>
    </row>
    <row r="33" spans="1:17" ht="15.75" customHeight="1" x14ac:dyDescent="0.25"/>
    <row r="34" spans="1:17" ht="15.75" customHeight="1" x14ac:dyDescent="0.25">
      <c r="A34" t="s">
        <v>92</v>
      </c>
    </row>
    <row r="35" spans="1:17" ht="15.75" customHeight="1" x14ac:dyDescent="0.25">
      <c r="A35" t="s">
        <v>21</v>
      </c>
      <c r="B35" s="1">
        <f>SUM(C35:N35)</f>
        <v>310500</v>
      </c>
      <c r="C35" s="1">
        <f>14042+13333-1500</f>
        <v>25875</v>
      </c>
      <c r="D35" s="1">
        <f>C35</f>
        <v>25875</v>
      </c>
      <c r="E35" s="1">
        <f t="shared" ref="E35:N35" si="4">D35</f>
        <v>25875</v>
      </c>
      <c r="F35" s="1">
        <f t="shared" si="4"/>
        <v>25875</v>
      </c>
      <c r="G35" s="1">
        <f t="shared" si="4"/>
        <v>25875</v>
      </c>
      <c r="H35" s="1">
        <f t="shared" si="4"/>
        <v>25875</v>
      </c>
      <c r="I35" s="1">
        <f t="shared" si="4"/>
        <v>25875</v>
      </c>
      <c r="J35" s="1">
        <f t="shared" si="4"/>
        <v>25875</v>
      </c>
      <c r="K35" s="1">
        <f t="shared" si="4"/>
        <v>25875</v>
      </c>
      <c r="L35" s="1">
        <f t="shared" si="4"/>
        <v>25875</v>
      </c>
      <c r="M35" s="1">
        <f t="shared" si="4"/>
        <v>25875</v>
      </c>
      <c r="N35" s="1">
        <f t="shared" si="4"/>
        <v>25875</v>
      </c>
      <c r="O35" s="1">
        <v>523950.00000000006</v>
      </c>
      <c r="P35" s="3" t="s">
        <v>1</v>
      </c>
    </row>
    <row r="36" spans="1:17" ht="15.75" customHeight="1" x14ac:dyDescent="0.25">
      <c r="A36" t="s">
        <v>23</v>
      </c>
      <c r="B36" s="1">
        <f>SUM(C36:N36)</f>
        <v>78732</v>
      </c>
      <c r="C36" s="1">
        <f>3228+3333</f>
        <v>6561</v>
      </c>
      <c r="D36" s="1">
        <f>C36</f>
        <v>6561</v>
      </c>
      <c r="E36" s="1">
        <f t="shared" ref="E36:N36" si="5">D36</f>
        <v>6561</v>
      </c>
      <c r="F36" s="1">
        <f t="shared" si="5"/>
        <v>6561</v>
      </c>
      <c r="G36" s="1">
        <f t="shared" si="5"/>
        <v>6561</v>
      </c>
      <c r="H36" s="1">
        <f t="shared" si="5"/>
        <v>6561</v>
      </c>
      <c r="I36" s="1">
        <f t="shared" si="5"/>
        <v>6561</v>
      </c>
      <c r="J36" s="1">
        <f t="shared" si="5"/>
        <v>6561</v>
      </c>
      <c r="K36" s="1">
        <f t="shared" si="5"/>
        <v>6561</v>
      </c>
      <c r="L36" s="1">
        <f t="shared" si="5"/>
        <v>6561</v>
      </c>
      <c r="M36" s="1">
        <f t="shared" si="5"/>
        <v>6561</v>
      </c>
      <c r="N36" s="1">
        <f t="shared" si="5"/>
        <v>6561</v>
      </c>
      <c r="O36" s="1">
        <v>130987.5</v>
      </c>
      <c r="P36" s="3" t="s">
        <v>1</v>
      </c>
    </row>
    <row r="37" spans="1:17" ht="15.75" customHeight="1" x14ac:dyDescent="0.25">
      <c r="A37" t="s">
        <v>25</v>
      </c>
      <c r="B37" s="1">
        <f>SUM(C37:N37)</f>
        <v>18000</v>
      </c>
      <c r="C37" s="1">
        <v>1500</v>
      </c>
      <c r="D37" s="1">
        <f>C37</f>
        <v>1500</v>
      </c>
      <c r="E37" s="1">
        <f t="shared" ref="E37:N37" si="6">D37</f>
        <v>1500</v>
      </c>
      <c r="F37" s="1">
        <f t="shared" si="6"/>
        <v>1500</v>
      </c>
      <c r="G37" s="1">
        <f t="shared" si="6"/>
        <v>1500</v>
      </c>
      <c r="H37" s="1">
        <f t="shared" si="6"/>
        <v>1500</v>
      </c>
      <c r="I37" s="1">
        <f t="shared" si="6"/>
        <v>1500</v>
      </c>
      <c r="J37" s="1">
        <f t="shared" si="6"/>
        <v>1500</v>
      </c>
      <c r="K37" s="1">
        <f t="shared" si="6"/>
        <v>1500</v>
      </c>
      <c r="L37" s="1">
        <f t="shared" si="6"/>
        <v>1500</v>
      </c>
      <c r="M37" s="1">
        <f t="shared" si="6"/>
        <v>1500</v>
      </c>
      <c r="N37" s="1">
        <f t="shared" si="6"/>
        <v>1500</v>
      </c>
      <c r="O37" s="1">
        <v>9000</v>
      </c>
      <c r="P37" s="3" t="s">
        <v>1</v>
      </c>
    </row>
    <row r="38" spans="1:17" ht="15.75" customHeight="1" x14ac:dyDescent="0.25">
      <c r="A38" t="s">
        <v>27</v>
      </c>
      <c r="B38" s="1">
        <f>SUM(C38:N38)</f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52395</v>
      </c>
      <c r="P38" s="3" t="s">
        <v>1</v>
      </c>
    </row>
    <row r="39" spans="1:17" ht="15.75" customHeight="1" x14ac:dyDescent="0.25">
      <c r="A39" t="s">
        <v>29</v>
      </c>
      <c r="B39" s="4">
        <f>SUM(C39:N39)</f>
        <v>52906</v>
      </c>
      <c r="C39" s="4">
        <v>4333</v>
      </c>
      <c r="D39" s="4">
        <f>C39</f>
        <v>4333</v>
      </c>
      <c r="E39" s="4">
        <f t="shared" ref="E39:N39" si="7">D39</f>
        <v>4333</v>
      </c>
      <c r="F39" s="4">
        <f t="shared" si="7"/>
        <v>4333</v>
      </c>
      <c r="G39" s="4">
        <f t="shared" si="7"/>
        <v>4333</v>
      </c>
      <c r="H39" s="4">
        <f>4463</f>
        <v>4463</v>
      </c>
      <c r="I39" s="4">
        <f t="shared" si="7"/>
        <v>4463</v>
      </c>
      <c r="J39" s="4">
        <f t="shared" si="7"/>
        <v>4463</v>
      </c>
      <c r="K39" s="4">
        <f t="shared" si="7"/>
        <v>4463</v>
      </c>
      <c r="L39" s="4">
        <f t="shared" si="7"/>
        <v>4463</v>
      </c>
      <c r="M39" s="4">
        <f t="shared" si="7"/>
        <v>4463</v>
      </c>
      <c r="N39" s="4">
        <f t="shared" si="7"/>
        <v>4463</v>
      </c>
      <c r="O39" s="4">
        <v>150000</v>
      </c>
      <c r="P39" s="3" t="s">
        <v>1</v>
      </c>
    </row>
    <row r="40" spans="1:17" ht="15.75" customHeight="1" x14ac:dyDescent="0.25">
      <c r="A40" t="s">
        <v>31</v>
      </c>
      <c r="B40" s="1">
        <f>SUM(B35:B39)</f>
        <v>460138</v>
      </c>
      <c r="C40" s="1">
        <f>SUM(C35:C39)</f>
        <v>38269</v>
      </c>
      <c r="D40" s="1">
        <f t="shared" ref="D40:N40" si="8">SUM(D35:D39)</f>
        <v>38269</v>
      </c>
      <c r="E40" s="1">
        <f t="shared" si="8"/>
        <v>38269</v>
      </c>
      <c r="F40" s="1">
        <f t="shared" si="8"/>
        <v>38269</v>
      </c>
      <c r="G40" s="1">
        <f t="shared" si="8"/>
        <v>38269</v>
      </c>
      <c r="H40" s="1">
        <f t="shared" si="8"/>
        <v>38399</v>
      </c>
      <c r="I40" s="1">
        <f t="shared" si="8"/>
        <v>38399</v>
      </c>
      <c r="J40" s="1">
        <f t="shared" si="8"/>
        <v>38399</v>
      </c>
      <c r="K40" s="1">
        <f t="shared" si="8"/>
        <v>38399</v>
      </c>
      <c r="L40" s="1">
        <f t="shared" si="8"/>
        <v>38399</v>
      </c>
      <c r="M40" s="1">
        <f t="shared" si="8"/>
        <v>38399</v>
      </c>
      <c r="N40" s="1">
        <f t="shared" si="8"/>
        <v>38399</v>
      </c>
      <c r="O40" s="1">
        <v>866332.5</v>
      </c>
      <c r="P40" s="3" t="s">
        <v>1</v>
      </c>
    </row>
    <row r="41" spans="1:17" ht="15.7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>
        <v>0</v>
      </c>
      <c r="P41" s="3" t="s">
        <v>1</v>
      </c>
    </row>
    <row r="42" spans="1:17" ht="15.75" customHeight="1" x14ac:dyDescent="0.25">
      <c r="A42" t="s">
        <v>32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>
        <v>0</v>
      </c>
    </row>
    <row r="43" spans="1:17" ht="15.75" customHeight="1" x14ac:dyDescent="0.25">
      <c r="A43" t="s">
        <v>117</v>
      </c>
      <c r="B43" s="1">
        <f t="shared" ref="B43:B59" si="9">SUM(C43:N43)</f>
        <v>26232</v>
      </c>
      <c r="C43" s="1">
        <f>2186</f>
        <v>2186</v>
      </c>
      <c r="D43" s="1">
        <f t="shared" ref="D43:D59" si="10">C43</f>
        <v>2186</v>
      </c>
      <c r="E43" s="1">
        <f t="shared" ref="E43:N43" si="11">D43</f>
        <v>2186</v>
      </c>
      <c r="F43" s="1">
        <f t="shared" si="11"/>
        <v>2186</v>
      </c>
      <c r="G43" s="1">
        <f t="shared" si="11"/>
        <v>2186</v>
      </c>
      <c r="H43" s="1">
        <f t="shared" si="11"/>
        <v>2186</v>
      </c>
      <c r="I43" s="1">
        <f t="shared" si="11"/>
        <v>2186</v>
      </c>
      <c r="J43" s="1">
        <f t="shared" si="11"/>
        <v>2186</v>
      </c>
      <c r="K43" s="1">
        <f t="shared" si="11"/>
        <v>2186</v>
      </c>
      <c r="L43" s="1">
        <f t="shared" si="11"/>
        <v>2186</v>
      </c>
      <c r="M43" s="1">
        <f t="shared" si="11"/>
        <v>2186</v>
      </c>
      <c r="N43" s="1">
        <f t="shared" si="11"/>
        <v>2186</v>
      </c>
      <c r="O43" s="1">
        <v>9000</v>
      </c>
      <c r="P43" s="3" t="s">
        <v>1</v>
      </c>
      <c r="Q43" t="s">
        <v>1</v>
      </c>
    </row>
    <row r="44" spans="1:17" ht="15.75" customHeight="1" x14ac:dyDescent="0.25">
      <c r="A44" t="s">
        <v>35</v>
      </c>
      <c r="B44" s="1">
        <f t="shared" si="9"/>
        <v>6105</v>
      </c>
      <c r="C44" s="1">
        <f>500</f>
        <v>500</v>
      </c>
      <c r="D44" s="1">
        <f t="shared" si="10"/>
        <v>500</v>
      </c>
      <c r="E44" s="1">
        <f t="shared" ref="E44:G59" si="12">D44</f>
        <v>500</v>
      </c>
      <c r="F44" s="1">
        <f t="shared" si="12"/>
        <v>500</v>
      </c>
      <c r="G44" s="1">
        <f t="shared" si="12"/>
        <v>500</v>
      </c>
      <c r="H44" s="1">
        <v>515</v>
      </c>
      <c r="I44" s="1">
        <f t="shared" ref="I44:N45" si="13">H44</f>
        <v>515</v>
      </c>
      <c r="J44" s="1">
        <f t="shared" si="13"/>
        <v>515</v>
      </c>
      <c r="K44" s="1">
        <f t="shared" si="13"/>
        <v>515</v>
      </c>
      <c r="L44" s="1">
        <f t="shared" si="13"/>
        <v>515</v>
      </c>
      <c r="M44" s="1">
        <f t="shared" si="13"/>
        <v>515</v>
      </c>
      <c r="N44" s="1">
        <f t="shared" si="13"/>
        <v>515</v>
      </c>
      <c r="O44" s="1">
        <v>4800</v>
      </c>
      <c r="P44" s="3" t="s">
        <v>1</v>
      </c>
    </row>
    <row r="45" spans="1:17" ht="15.75" customHeight="1" x14ac:dyDescent="0.25">
      <c r="A45" t="s">
        <v>37</v>
      </c>
      <c r="B45" s="1">
        <f t="shared" si="9"/>
        <v>5359</v>
      </c>
      <c r="C45" s="1">
        <f>239+200</f>
        <v>439</v>
      </c>
      <c r="D45" s="1">
        <f t="shared" si="10"/>
        <v>439</v>
      </c>
      <c r="E45" s="1">
        <f t="shared" si="12"/>
        <v>439</v>
      </c>
      <c r="F45" s="1">
        <f t="shared" si="12"/>
        <v>439</v>
      </c>
      <c r="G45" s="1">
        <f t="shared" si="12"/>
        <v>439</v>
      </c>
      <c r="H45" s="1">
        <f>246+206</f>
        <v>452</v>
      </c>
      <c r="I45" s="1">
        <f t="shared" si="13"/>
        <v>452</v>
      </c>
      <c r="J45" s="1">
        <f t="shared" si="13"/>
        <v>452</v>
      </c>
      <c r="K45" s="1">
        <f t="shared" si="13"/>
        <v>452</v>
      </c>
      <c r="L45" s="1">
        <f t="shared" si="13"/>
        <v>452</v>
      </c>
      <c r="M45" s="1">
        <f t="shared" si="13"/>
        <v>452</v>
      </c>
      <c r="N45" s="1">
        <f t="shared" si="13"/>
        <v>452</v>
      </c>
      <c r="O45" s="1">
        <v>7500</v>
      </c>
      <c r="P45" s="3" t="s">
        <v>1</v>
      </c>
    </row>
    <row r="46" spans="1:17" ht="15.75" customHeight="1" x14ac:dyDescent="0.25">
      <c r="A46" t="s">
        <v>39</v>
      </c>
      <c r="B46" s="1">
        <f t="shared" si="9"/>
        <v>28527</v>
      </c>
      <c r="C46" s="1">
        <f>597+1740</f>
        <v>2337</v>
      </c>
      <c r="D46" s="1">
        <f t="shared" si="10"/>
        <v>2337</v>
      </c>
      <c r="E46" s="1">
        <f t="shared" si="12"/>
        <v>2337</v>
      </c>
      <c r="F46" s="1">
        <f t="shared" si="12"/>
        <v>2337</v>
      </c>
      <c r="G46" s="1">
        <f t="shared" si="12"/>
        <v>2337</v>
      </c>
      <c r="H46" s="1">
        <f>614+1792</f>
        <v>2406</v>
      </c>
      <c r="I46" s="1">
        <f t="shared" ref="I46:N46" si="14">H46</f>
        <v>2406</v>
      </c>
      <c r="J46" s="1">
        <f t="shared" si="14"/>
        <v>2406</v>
      </c>
      <c r="K46" s="1">
        <f t="shared" si="14"/>
        <v>2406</v>
      </c>
      <c r="L46" s="1">
        <f t="shared" si="14"/>
        <v>2406</v>
      </c>
      <c r="M46" s="1">
        <f t="shared" si="14"/>
        <v>2406</v>
      </c>
      <c r="N46" s="1">
        <f t="shared" si="14"/>
        <v>2406</v>
      </c>
      <c r="O46" s="1">
        <v>5400</v>
      </c>
      <c r="P46" s="3" t="s">
        <v>1</v>
      </c>
      <c r="Q46" t="s">
        <v>1</v>
      </c>
    </row>
    <row r="47" spans="1:17" ht="15.75" customHeight="1" x14ac:dyDescent="0.25">
      <c r="A47" t="s">
        <v>41</v>
      </c>
      <c r="B47" s="1">
        <f t="shared" si="9"/>
        <v>9716</v>
      </c>
      <c r="C47" s="1">
        <f>200+500</f>
        <v>700</v>
      </c>
      <c r="D47" s="1">
        <f t="shared" si="10"/>
        <v>700</v>
      </c>
      <c r="E47" s="1">
        <f t="shared" si="12"/>
        <v>700</v>
      </c>
      <c r="F47" s="1">
        <f t="shared" si="12"/>
        <v>700</v>
      </c>
      <c r="G47" s="1">
        <f t="shared" si="12"/>
        <v>700</v>
      </c>
      <c r="H47" s="1">
        <f>206+682</f>
        <v>888</v>
      </c>
      <c r="I47" s="1">
        <f t="shared" ref="I47:N47" si="15">H47</f>
        <v>888</v>
      </c>
      <c r="J47" s="1">
        <f t="shared" si="15"/>
        <v>888</v>
      </c>
      <c r="K47" s="1">
        <f t="shared" si="15"/>
        <v>888</v>
      </c>
      <c r="L47" s="1">
        <f t="shared" si="15"/>
        <v>888</v>
      </c>
      <c r="M47" s="1">
        <f t="shared" si="15"/>
        <v>888</v>
      </c>
      <c r="N47" s="1">
        <f t="shared" si="15"/>
        <v>888</v>
      </c>
      <c r="O47" s="1">
        <v>600</v>
      </c>
      <c r="P47" s="3" t="s">
        <v>1</v>
      </c>
    </row>
    <row r="48" spans="1:17" ht="15.75" customHeight="1" x14ac:dyDescent="0.25">
      <c r="A48" t="s">
        <v>81</v>
      </c>
      <c r="B48" s="1">
        <f t="shared" si="9"/>
        <v>15599</v>
      </c>
      <c r="C48" s="1">
        <f>800</f>
        <v>800</v>
      </c>
      <c r="D48" s="1">
        <f t="shared" si="10"/>
        <v>800</v>
      </c>
      <c r="E48" s="1">
        <f t="shared" si="12"/>
        <v>800</v>
      </c>
      <c r="F48" s="1">
        <f t="shared" si="12"/>
        <v>800</v>
      </c>
      <c r="G48" s="1">
        <f t="shared" si="12"/>
        <v>800</v>
      </c>
      <c r="H48" s="1">
        <f>1657</f>
        <v>1657</v>
      </c>
      <c r="I48" s="1">
        <f t="shared" ref="I48:N48" si="16">H48</f>
        <v>1657</v>
      </c>
      <c r="J48" s="1">
        <f t="shared" si="16"/>
        <v>1657</v>
      </c>
      <c r="K48" s="1">
        <f t="shared" si="16"/>
        <v>1657</v>
      </c>
      <c r="L48" s="1">
        <f t="shared" si="16"/>
        <v>1657</v>
      </c>
      <c r="M48" s="1">
        <f t="shared" si="16"/>
        <v>1657</v>
      </c>
      <c r="N48" s="1">
        <f t="shared" si="16"/>
        <v>1657</v>
      </c>
      <c r="O48" s="1">
        <v>7200</v>
      </c>
      <c r="P48" s="3" t="s">
        <v>1</v>
      </c>
    </row>
    <row r="49" spans="1:17" ht="15.75" customHeight="1" x14ac:dyDescent="0.25">
      <c r="A49" t="s">
        <v>45</v>
      </c>
      <c r="B49" s="1">
        <f t="shared" si="9"/>
        <v>142274</v>
      </c>
      <c r="C49" s="1">
        <f>833+10833</f>
        <v>11666</v>
      </c>
      <c r="D49" s="1">
        <f t="shared" si="10"/>
        <v>11666</v>
      </c>
      <c r="E49" s="1">
        <f t="shared" si="12"/>
        <v>11666</v>
      </c>
      <c r="F49" s="1">
        <f t="shared" si="12"/>
        <v>11666</v>
      </c>
      <c r="G49" s="1">
        <f t="shared" si="12"/>
        <v>11666</v>
      </c>
      <c r="H49" s="1">
        <v>11992</v>
      </c>
      <c r="I49" s="1">
        <f t="shared" ref="I49:N49" si="17">H49</f>
        <v>11992</v>
      </c>
      <c r="J49" s="1">
        <f t="shared" si="17"/>
        <v>11992</v>
      </c>
      <c r="K49" s="1">
        <f t="shared" si="17"/>
        <v>11992</v>
      </c>
      <c r="L49" s="1">
        <f t="shared" si="17"/>
        <v>11992</v>
      </c>
      <c r="M49" s="1">
        <f t="shared" si="17"/>
        <v>11992</v>
      </c>
      <c r="N49" s="1">
        <f t="shared" si="17"/>
        <v>11992</v>
      </c>
      <c r="O49" s="1">
        <v>3600</v>
      </c>
    </row>
    <row r="50" spans="1:17" ht="15.75" customHeight="1" x14ac:dyDescent="0.25">
      <c r="A50" t="s">
        <v>46</v>
      </c>
      <c r="B50" s="1">
        <f t="shared" si="9"/>
        <v>30251</v>
      </c>
      <c r="C50" s="1">
        <f>2000</f>
        <v>2000</v>
      </c>
      <c r="D50" s="1">
        <f t="shared" si="10"/>
        <v>2000</v>
      </c>
      <c r="E50" s="1">
        <f t="shared" si="12"/>
        <v>2000</v>
      </c>
      <c r="F50" s="1">
        <f t="shared" si="12"/>
        <v>2000</v>
      </c>
      <c r="G50" s="1">
        <f t="shared" si="12"/>
        <v>2000</v>
      </c>
      <c r="H50" s="1">
        <f>2893</f>
        <v>2893</v>
      </c>
      <c r="I50" s="1">
        <f t="shared" ref="I50:N50" si="18">H50</f>
        <v>2893</v>
      </c>
      <c r="J50" s="1">
        <f t="shared" si="18"/>
        <v>2893</v>
      </c>
      <c r="K50" s="1">
        <f t="shared" si="18"/>
        <v>2893</v>
      </c>
      <c r="L50" s="1">
        <f t="shared" si="18"/>
        <v>2893</v>
      </c>
      <c r="M50" s="1">
        <f t="shared" si="18"/>
        <v>2893</v>
      </c>
      <c r="N50" s="1">
        <f t="shared" si="18"/>
        <v>2893</v>
      </c>
      <c r="O50" s="1">
        <v>9000</v>
      </c>
      <c r="P50" s="3" t="s">
        <v>1</v>
      </c>
    </row>
    <row r="51" spans="1:17" ht="15.75" customHeight="1" x14ac:dyDescent="0.25">
      <c r="A51" t="s">
        <v>48</v>
      </c>
      <c r="B51" s="1">
        <f t="shared" si="9"/>
        <v>986</v>
      </c>
      <c r="C51" s="1">
        <f>81</f>
        <v>81</v>
      </c>
      <c r="D51" s="1">
        <f t="shared" si="10"/>
        <v>81</v>
      </c>
      <c r="E51" s="1">
        <f t="shared" si="12"/>
        <v>81</v>
      </c>
      <c r="F51" s="1">
        <f t="shared" si="12"/>
        <v>81</v>
      </c>
      <c r="G51" s="1">
        <f t="shared" si="12"/>
        <v>81</v>
      </c>
      <c r="H51" s="1">
        <f>83</f>
        <v>83</v>
      </c>
      <c r="I51" s="1">
        <f t="shared" ref="I51:N51" si="19">H51</f>
        <v>83</v>
      </c>
      <c r="J51" s="1">
        <f t="shared" si="19"/>
        <v>83</v>
      </c>
      <c r="K51" s="1">
        <f t="shared" si="19"/>
        <v>83</v>
      </c>
      <c r="L51" s="1">
        <f t="shared" si="19"/>
        <v>83</v>
      </c>
      <c r="M51" s="1">
        <f t="shared" si="19"/>
        <v>83</v>
      </c>
      <c r="N51" s="1">
        <f t="shared" si="19"/>
        <v>83</v>
      </c>
      <c r="O51" s="1">
        <v>6000</v>
      </c>
      <c r="P51" s="3" t="s">
        <v>1</v>
      </c>
    </row>
    <row r="52" spans="1:17" ht="15.75" customHeight="1" x14ac:dyDescent="0.25">
      <c r="A52" t="s">
        <v>50</v>
      </c>
      <c r="B52" s="1">
        <f t="shared" si="9"/>
        <v>21244</v>
      </c>
      <c r="C52" s="1">
        <f>1740</f>
        <v>1740</v>
      </c>
      <c r="D52" s="1">
        <f t="shared" si="10"/>
        <v>1740</v>
      </c>
      <c r="E52" s="1">
        <f t="shared" si="12"/>
        <v>1740</v>
      </c>
      <c r="F52" s="1">
        <f t="shared" si="12"/>
        <v>1740</v>
      </c>
      <c r="G52" s="1">
        <f t="shared" si="12"/>
        <v>1740</v>
      </c>
      <c r="H52" s="1">
        <f>1792</f>
        <v>1792</v>
      </c>
      <c r="I52" s="1">
        <f t="shared" ref="I52:N52" si="20">H52</f>
        <v>1792</v>
      </c>
      <c r="J52" s="1">
        <f t="shared" si="20"/>
        <v>1792</v>
      </c>
      <c r="K52" s="1">
        <f t="shared" si="20"/>
        <v>1792</v>
      </c>
      <c r="L52" s="1">
        <f t="shared" si="20"/>
        <v>1792</v>
      </c>
      <c r="M52" s="1">
        <f t="shared" si="20"/>
        <v>1792</v>
      </c>
      <c r="N52" s="1">
        <f t="shared" si="20"/>
        <v>1792</v>
      </c>
      <c r="O52" s="1">
        <v>17800.000000000004</v>
      </c>
      <c r="P52" s="3" t="s">
        <v>1</v>
      </c>
      <c r="Q52" t="s">
        <v>1</v>
      </c>
    </row>
    <row r="53" spans="1:17" ht="15.75" customHeight="1" x14ac:dyDescent="0.25">
      <c r="A53" t="s">
        <v>78</v>
      </c>
      <c r="B53" s="1">
        <f t="shared" si="9"/>
        <v>44774</v>
      </c>
      <c r="C53" s="1">
        <f>3667</f>
        <v>3667</v>
      </c>
      <c r="D53" s="1">
        <f t="shared" si="10"/>
        <v>3667</v>
      </c>
      <c r="E53" s="1">
        <f t="shared" si="12"/>
        <v>3667</v>
      </c>
      <c r="F53" s="1">
        <f t="shared" si="12"/>
        <v>3667</v>
      </c>
      <c r="G53" s="1">
        <f t="shared" si="12"/>
        <v>3667</v>
      </c>
      <c r="H53" s="1">
        <f>3777</f>
        <v>3777</v>
      </c>
      <c r="I53" s="1">
        <f t="shared" ref="I53:N53" si="21">H53</f>
        <v>3777</v>
      </c>
      <c r="J53" s="1">
        <f t="shared" si="21"/>
        <v>3777</v>
      </c>
      <c r="K53" s="1">
        <f t="shared" si="21"/>
        <v>3777</v>
      </c>
      <c r="L53" s="1">
        <f t="shared" si="21"/>
        <v>3777</v>
      </c>
      <c r="M53" s="1">
        <f t="shared" si="21"/>
        <v>3777</v>
      </c>
      <c r="N53" s="1">
        <f t="shared" si="21"/>
        <v>3777</v>
      </c>
      <c r="O53" s="1"/>
      <c r="P53" s="3" t="s">
        <v>1</v>
      </c>
    </row>
    <row r="54" spans="1:17" ht="15.75" customHeight="1" x14ac:dyDescent="0.25">
      <c r="A54" t="s">
        <v>52</v>
      </c>
      <c r="B54" s="1">
        <f t="shared" si="9"/>
        <v>367</v>
      </c>
      <c r="C54" s="1">
        <f>30</f>
        <v>30</v>
      </c>
      <c r="D54" s="1">
        <f t="shared" si="10"/>
        <v>30</v>
      </c>
      <c r="E54" s="1">
        <f t="shared" si="12"/>
        <v>30</v>
      </c>
      <c r="F54" s="1">
        <f t="shared" si="12"/>
        <v>30</v>
      </c>
      <c r="G54" s="1">
        <f t="shared" si="12"/>
        <v>30</v>
      </c>
      <c r="H54" s="1">
        <f>31</f>
        <v>31</v>
      </c>
      <c r="I54" s="1">
        <f t="shared" ref="I54:N54" si="22">H54</f>
        <v>31</v>
      </c>
      <c r="J54" s="1">
        <f t="shared" si="22"/>
        <v>31</v>
      </c>
      <c r="K54" s="1">
        <f t="shared" si="22"/>
        <v>31</v>
      </c>
      <c r="L54" s="1">
        <f t="shared" si="22"/>
        <v>31</v>
      </c>
      <c r="M54" s="1">
        <f t="shared" si="22"/>
        <v>31</v>
      </c>
      <c r="N54" s="1">
        <f t="shared" si="22"/>
        <v>31</v>
      </c>
      <c r="O54" s="1">
        <v>480</v>
      </c>
      <c r="P54" s="3" t="s">
        <v>1</v>
      </c>
    </row>
    <row r="55" spans="1:17" ht="15.75" customHeight="1" x14ac:dyDescent="0.25">
      <c r="A55" t="s">
        <v>54</v>
      </c>
      <c r="B55" s="1">
        <f t="shared" si="9"/>
        <v>13738</v>
      </c>
      <c r="C55" s="1">
        <f>1125</f>
        <v>1125</v>
      </c>
      <c r="D55" s="1">
        <f t="shared" si="10"/>
        <v>1125</v>
      </c>
      <c r="E55" s="1">
        <f t="shared" si="12"/>
        <v>1125</v>
      </c>
      <c r="F55" s="1">
        <f t="shared" si="12"/>
        <v>1125</v>
      </c>
      <c r="G55" s="1">
        <f t="shared" si="12"/>
        <v>1125</v>
      </c>
      <c r="H55" s="1">
        <f>1159</f>
        <v>1159</v>
      </c>
      <c r="I55" s="1">
        <f t="shared" ref="I55:N55" si="23">H55</f>
        <v>1159</v>
      </c>
      <c r="J55" s="1">
        <f t="shared" si="23"/>
        <v>1159</v>
      </c>
      <c r="K55" s="1">
        <f t="shared" si="23"/>
        <v>1159</v>
      </c>
      <c r="L55" s="1">
        <f t="shared" si="23"/>
        <v>1159</v>
      </c>
      <c r="M55" s="1">
        <f t="shared" si="23"/>
        <v>1159</v>
      </c>
      <c r="N55" s="1">
        <f t="shared" si="23"/>
        <v>1159</v>
      </c>
      <c r="O55" s="1">
        <v>36000</v>
      </c>
      <c r="P55" s="3" t="s">
        <v>1</v>
      </c>
    </row>
    <row r="56" spans="1:17" ht="15.75" customHeight="1" x14ac:dyDescent="0.25">
      <c r="A56" t="s">
        <v>100</v>
      </c>
      <c r="B56" s="1">
        <f>SUM(C56:N56)</f>
        <v>9208473</v>
      </c>
      <c r="C56" s="1">
        <f>22330+6725+R28</f>
        <v>748553.25</v>
      </c>
      <c r="D56" s="1">
        <f t="shared" si="10"/>
        <v>748553.25</v>
      </c>
      <c r="E56" s="1">
        <f t="shared" si="12"/>
        <v>748553.25</v>
      </c>
      <c r="F56" s="1">
        <f t="shared" si="12"/>
        <v>748553.25</v>
      </c>
      <c r="G56" s="1">
        <f t="shared" si="12"/>
        <v>748553.25</v>
      </c>
      <c r="H56" s="1">
        <f>47125+14192+R28</f>
        <v>780815.25</v>
      </c>
      <c r="I56" s="1">
        <f t="shared" ref="I56:N56" si="24">H56</f>
        <v>780815.25</v>
      </c>
      <c r="J56" s="1">
        <f t="shared" si="24"/>
        <v>780815.25</v>
      </c>
      <c r="K56" s="1">
        <f t="shared" si="24"/>
        <v>780815.25</v>
      </c>
      <c r="L56" s="1">
        <f t="shared" si="24"/>
        <v>780815.25</v>
      </c>
      <c r="M56" s="1">
        <f t="shared" si="24"/>
        <v>780815.25</v>
      </c>
      <c r="N56" s="1">
        <f t="shared" si="24"/>
        <v>780815.25</v>
      </c>
      <c r="O56" s="1"/>
    </row>
    <row r="57" spans="1:17" ht="15.75" customHeight="1" x14ac:dyDescent="0.25">
      <c r="A57" t="s">
        <v>56</v>
      </c>
      <c r="B57" s="1">
        <f t="shared" si="9"/>
        <v>0</v>
      </c>
      <c r="C57" s="1">
        <v>0</v>
      </c>
      <c r="D57" s="1">
        <f t="shared" si="10"/>
        <v>0</v>
      </c>
      <c r="E57" s="1">
        <f t="shared" si="12"/>
        <v>0</v>
      </c>
      <c r="F57" s="1">
        <f t="shared" si="12"/>
        <v>0</v>
      </c>
      <c r="G57" s="1">
        <f t="shared" si="12"/>
        <v>0</v>
      </c>
      <c r="H57" s="1">
        <v>0</v>
      </c>
      <c r="I57" s="1">
        <f t="shared" ref="I57:N57" si="25">H57</f>
        <v>0</v>
      </c>
      <c r="J57" s="1">
        <f t="shared" si="25"/>
        <v>0</v>
      </c>
      <c r="K57" s="1">
        <f t="shared" si="25"/>
        <v>0</v>
      </c>
      <c r="L57" s="1">
        <f t="shared" si="25"/>
        <v>0</v>
      </c>
      <c r="M57" s="1">
        <f t="shared" si="25"/>
        <v>0</v>
      </c>
      <c r="N57" s="1">
        <f t="shared" si="25"/>
        <v>0</v>
      </c>
      <c r="O57" s="1">
        <v>3780</v>
      </c>
      <c r="P57" s="3" t="s">
        <v>1</v>
      </c>
    </row>
    <row r="58" spans="1:17" ht="15.75" customHeight="1" x14ac:dyDescent="0.25">
      <c r="A58" t="s">
        <v>58</v>
      </c>
      <c r="B58" s="1">
        <f t="shared" si="9"/>
        <v>0</v>
      </c>
      <c r="C58" s="1">
        <v>0</v>
      </c>
      <c r="D58" s="1">
        <f t="shared" si="10"/>
        <v>0</v>
      </c>
      <c r="E58" s="1">
        <f t="shared" si="12"/>
        <v>0</v>
      </c>
      <c r="F58" s="1">
        <f t="shared" si="12"/>
        <v>0</v>
      </c>
      <c r="G58" s="1">
        <f t="shared" si="12"/>
        <v>0</v>
      </c>
      <c r="H58" s="1">
        <v>0</v>
      </c>
      <c r="I58" s="1">
        <f t="shared" ref="I58:N58" si="26">H58</f>
        <v>0</v>
      </c>
      <c r="J58" s="1">
        <f t="shared" si="26"/>
        <v>0</v>
      </c>
      <c r="K58" s="1">
        <f t="shared" si="26"/>
        <v>0</v>
      </c>
      <c r="L58" s="1">
        <f t="shared" si="26"/>
        <v>0</v>
      </c>
      <c r="M58" s="1">
        <f t="shared" si="26"/>
        <v>0</v>
      </c>
      <c r="N58" s="1">
        <f t="shared" si="26"/>
        <v>0</v>
      </c>
      <c r="O58" s="1">
        <v>0</v>
      </c>
      <c r="P58" s="3" t="s">
        <v>1</v>
      </c>
    </row>
    <row r="59" spans="1:17" ht="15.75" customHeight="1" x14ac:dyDescent="0.25">
      <c r="A59" t="s">
        <v>60</v>
      </c>
      <c r="B59" s="4">
        <f t="shared" si="9"/>
        <v>0</v>
      </c>
      <c r="C59" s="4">
        <v>0</v>
      </c>
      <c r="D59" s="4">
        <f t="shared" si="10"/>
        <v>0</v>
      </c>
      <c r="E59" s="4">
        <f t="shared" si="12"/>
        <v>0</v>
      </c>
      <c r="F59" s="4">
        <f t="shared" si="12"/>
        <v>0</v>
      </c>
      <c r="G59" s="4">
        <f t="shared" si="12"/>
        <v>0</v>
      </c>
      <c r="H59" s="4">
        <v>0</v>
      </c>
      <c r="I59" s="4">
        <f t="shared" ref="I59:N59" si="27">H59</f>
        <v>0</v>
      </c>
      <c r="J59" s="4">
        <f t="shared" si="27"/>
        <v>0</v>
      </c>
      <c r="K59" s="4">
        <f t="shared" si="27"/>
        <v>0</v>
      </c>
      <c r="L59" s="4">
        <f t="shared" si="27"/>
        <v>0</v>
      </c>
      <c r="M59" s="4">
        <f t="shared" si="27"/>
        <v>0</v>
      </c>
      <c r="N59" s="4">
        <f t="shared" si="27"/>
        <v>0</v>
      </c>
      <c r="O59" s="4">
        <v>-280131</v>
      </c>
    </row>
    <row r="60" spans="1:17" ht="15.75" customHeight="1" x14ac:dyDescent="0.25">
      <c r="A60" t="s">
        <v>31</v>
      </c>
      <c r="B60" s="1">
        <f>SUM(B43:B59)</f>
        <v>9553645</v>
      </c>
      <c r="C60" s="1">
        <f>SUM(C43:C59)</f>
        <v>775824.25</v>
      </c>
      <c r="D60" s="1">
        <f t="shared" ref="D60:N60" si="28">SUM(D43:D59)</f>
        <v>775824.25</v>
      </c>
      <c r="E60" s="1">
        <f t="shared" si="28"/>
        <v>775824.25</v>
      </c>
      <c r="F60" s="1">
        <f t="shared" si="28"/>
        <v>775824.25</v>
      </c>
      <c r="G60" s="1">
        <f t="shared" si="28"/>
        <v>775824.25</v>
      </c>
      <c r="H60" s="1">
        <f t="shared" si="28"/>
        <v>810646.25</v>
      </c>
      <c r="I60" s="1">
        <f t="shared" si="28"/>
        <v>810646.25</v>
      </c>
      <c r="J60" s="1">
        <f t="shared" si="28"/>
        <v>810646.25</v>
      </c>
      <c r="K60" s="1">
        <f t="shared" si="28"/>
        <v>810646.25</v>
      </c>
      <c r="L60" s="1">
        <f t="shared" si="28"/>
        <v>810646.25</v>
      </c>
      <c r="M60" s="1">
        <f t="shared" si="28"/>
        <v>810646.25</v>
      </c>
      <c r="N60" s="1">
        <f t="shared" si="28"/>
        <v>810646.25</v>
      </c>
      <c r="O60" s="1">
        <v>-144971</v>
      </c>
    </row>
    <row r="61" spans="1:17" ht="15.7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>
        <v>0</v>
      </c>
    </row>
    <row r="62" spans="1:17" ht="15.75" customHeight="1" x14ac:dyDescent="0.25">
      <c r="A62" t="s">
        <v>102</v>
      </c>
      <c r="B62" s="4">
        <f>SUM(C62:N62)</f>
        <v>10013783</v>
      </c>
      <c r="C62" s="4">
        <f t="shared" ref="C62:N62" si="29">C40+C60</f>
        <v>814093.25</v>
      </c>
      <c r="D62" s="4">
        <f t="shared" si="29"/>
        <v>814093.25</v>
      </c>
      <c r="E62" s="4">
        <f t="shared" si="29"/>
        <v>814093.25</v>
      </c>
      <c r="F62" s="4">
        <f t="shared" si="29"/>
        <v>814093.25</v>
      </c>
      <c r="G62" s="4">
        <f t="shared" si="29"/>
        <v>814093.25</v>
      </c>
      <c r="H62" s="4">
        <f t="shared" si="29"/>
        <v>849045.25</v>
      </c>
      <c r="I62" s="4">
        <f t="shared" si="29"/>
        <v>849045.25</v>
      </c>
      <c r="J62" s="4">
        <f t="shared" si="29"/>
        <v>849045.25</v>
      </c>
      <c r="K62" s="4">
        <f t="shared" si="29"/>
        <v>849045.25</v>
      </c>
      <c r="L62" s="4">
        <f t="shared" si="29"/>
        <v>849045.25</v>
      </c>
      <c r="M62" s="4">
        <f t="shared" si="29"/>
        <v>849045.25</v>
      </c>
      <c r="N62" s="4">
        <f t="shared" si="29"/>
        <v>849045.25</v>
      </c>
      <c r="O62" s="1"/>
    </row>
    <row r="63" spans="1:17" ht="15.7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7" ht="15.75" customHeight="1" x14ac:dyDescent="0.25">
      <c r="A64" t="s">
        <v>62</v>
      </c>
      <c r="B64" s="1">
        <f t="shared" ref="B64:N64" si="30">B40+B60</f>
        <v>10013783</v>
      </c>
      <c r="C64" s="1">
        <f t="shared" si="30"/>
        <v>814093.25</v>
      </c>
      <c r="D64" s="1">
        <f t="shared" si="30"/>
        <v>814093.25</v>
      </c>
      <c r="E64" s="1">
        <f t="shared" si="30"/>
        <v>814093.25</v>
      </c>
      <c r="F64" s="1">
        <f t="shared" si="30"/>
        <v>814093.25</v>
      </c>
      <c r="G64" s="1">
        <f t="shared" si="30"/>
        <v>814093.25</v>
      </c>
      <c r="H64" s="1">
        <f t="shared" si="30"/>
        <v>849045.25</v>
      </c>
      <c r="I64" s="1">
        <f t="shared" si="30"/>
        <v>849045.25</v>
      </c>
      <c r="J64" s="1">
        <f t="shared" si="30"/>
        <v>849045.25</v>
      </c>
      <c r="K64" s="1">
        <f t="shared" si="30"/>
        <v>849045.25</v>
      </c>
      <c r="L64" s="1">
        <f t="shared" si="30"/>
        <v>849045.25</v>
      </c>
      <c r="M64" s="1">
        <f t="shared" si="30"/>
        <v>849045.25</v>
      </c>
      <c r="N64" s="1">
        <f t="shared" si="30"/>
        <v>849045.25</v>
      </c>
      <c r="O64" s="1">
        <f>SUM(C64:N64)</f>
        <v>10013783</v>
      </c>
    </row>
    <row r="65" spans="1:15" ht="15.75" customHeight="1" x14ac:dyDescent="0.25">
      <c r="A65" t="s">
        <v>63</v>
      </c>
      <c r="B65" s="1"/>
      <c r="C65" s="1">
        <f>C64</f>
        <v>814093.25</v>
      </c>
      <c r="D65" s="1">
        <f t="shared" ref="D65:N65" si="31">D64</f>
        <v>814093.25</v>
      </c>
      <c r="E65" s="1">
        <f t="shared" si="31"/>
        <v>814093.25</v>
      </c>
      <c r="F65" s="1">
        <f t="shared" si="31"/>
        <v>814093.25</v>
      </c>
      <c r="G65" s="1">
        <f t="shared" si="31"/>
        <v>814093.25</v>
      </c>
      <c r="H65" s="1">
        <f t="shared" si="31"/>
        <v>849045.25</v>
      </c>
      <c r="I65" s="1">
        <f t="shared" si="31"/>
        <v>849045.25</v>
      </c>
      <c r="J65" s="1">
        <f t="shared" si="31"/>
        <v>849045.25</v>
      </c>
      <c r="K65" s="1">
        <f t="shared" si="31"/>
        <v>849045.25</v>
      </c>
      <c r="L65" s="1">
        <f t="shared" si="31"/>
        <v>849045.25</v>
      </c>
      <c r="M65" s="1">
        <f t="shared" si="31"/>
        <v>849045.25</v>
      </c>
      <c r="N65" s="1">
        <f t="shared" si="31"/>
        <v>849045.25</v>
      </c>
      <c r="O65" s="1" t="s">
        <v>1</v>
      </c>
    </row>
    <row r="68" spans="1:15" ht="15.75" thickBot="1" x14ac:dyDescent="0.3">
      <c r="A68" t="s">
        <v>101</v>
      </c>
      <c r="B68" s="22">
        <f>SUM(C68:N68)</f>
        <v>-63306</v>
      </c>
      <c r="C68" s="22">
        <f t="shared" ref="C68:N68" si="32">C32-C62</f>
        <v>-21757</v>
      </c>
      <c r="D68" s="22">
        <f t="shared" si="32"/>
        <v>-21757</v>
      </c>
      <c r="E68" s="22">
        <f t="shared" si="32"/>
        <v>-21757</v>
      </c>
      <c r="F68" s="22">
        <f t="shared" si="32"/>
        <v>-21757</v>
      </c>
      <c r="G68" s="22">
        <f t="shared" si="32"/>
        <v>-21757</v>
      </c>
      <c r="H68" s="22">
        <f t="shared" si="32"/>
        <v>6497</v>
      </c>
      <c r="I68" s="22">
        <f t="shared" si="32"/>
        <v>6497</v>
      </c>
      <c r="J68" s="22">
        <f t="shared" si="32"/>
        <v>6497</v>
      </c>
      <c r="K68" s="22">
        <f t="shared" si="32"/>
        <v>6497</v>
      </c>
      <c r="L68" s="22">
        <f t="shared" si="32"/>
        <v>6497</v>
      </c>
      <c r="M68" s="22">
        <f t="shared" si="32"/>
        <v>6497</v>
      </c>
      <c r="N68" s="22">
        <f t="shared" si="32"/>
        <v>6497</v>
      </c>
    </row>
    <row r="69" spans="1:15" ht="15.75" thickTop="1" x14ac:dyDescent="0.25"/>
  </sheetData>
  <pageMargins left="0.7" right="0.7" top="0.75" bottom="0.75" header="0.3" footer="0.3"/>
  <pageSetup scale="53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69"/>
  <sheetViews>
    <sheetView topLeftCell="A2" workbookViewId="0">
      <pane xSplit="1" ySplit="16" topLeftCell="B18" activePane="bottomRight" state="frozen"/>
      <selection activeCell="A27" sqref="A27"/>
      <selection pane="topRight" activeCell="A27" sqref="A27"/>
      <selection pane="bottomLeft" activeCell="A27" sqref="A27"/>
      <selection pane="bottomRight" activeCell="A27" sqref="A27"/>
    </sheetView>
  </sheetViews>
  <sheetFormatPr defaultRowHeight="15" x14ac:dyDescent="0.25"/>
  <cols>
    <col min="1" max="1" width="26.42578125" customWidth="1"/>
    <col min="2" max="2" width="10.7109375" bestFit="1" customWidth="1"/>
    <col min="3" max="3" width="9.7109375" bestFit="1" customWidth="1"/>
    <col min="4" max="14" width="10" bestFit="1" customWidth="1"/>
    <col min="15" max="15" width="11.5703125" hidden="1" customWidth="1"/>
    <col min="16" max="16" width="45.7109375" style="15" customWidth="1"/>
    <col min="17" max="18" width="11.5703125" bestFit="1" customWidth="1"/>
    <col min="19" max="19" width="10.5703125" bestFit="1" customWidth="1"/>
  </cols>
  <sheetData>
    <row r="2" spans="1:16" ht="15.75" x14ac:dyDescent="0.25">
      <c r="A2" s="8" t="s">
        <v>0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31"/>
    </row>
    <row r="3" spans="1:16" ht="15.75" x14ac:dyDescent="0.25">
      <c r="A3" s="8" t="str">
        <f>'Budget Summary'!A3</f>
        <v>2009 Operating Budget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31"/>
    </row>
    <row r="4" spans="1:16" ht="15.75" x14ac:dyDescent="0.25">
      <c r="A4" s="14" t="s">
        <v>84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31"/>
    </row>
    <row r="5" spans="1:16" ht="15.75" x14ac:dyDescent="0.25">
      <c r="A5" s="12"/>
      <c r="B5" s="6" t="s">
        <v>2</v>
      </c>
      <c r="C5" s="7">
        <f>'Budget Summary'!C5</f>
        <v>39814</v>
      </c>
      <c r="D5" s="7">
        <f>C5+31</f>
        <v>39845</v>
      </c>
      <c r="E5" s="7">
        <f t="shared" ref="E5:N5" si="0">D5+31</f>
        <v>39876</v>
      </c>
      <c r="F5" s="7">
        <f t="shared" si="0"/>
        <v>39907</v>
      </c>
      <c r="G5" s="7">
        <f t="shared" si="0"/>
        <v>39938</v>
      </c>
      <c r="H5" s="7">
        <f t="shared" si="0"/>
        <v>39969</v>
      </c>
      <c r="I5" s="7">
        <f t="shared" si="0"/>
        <v>40000</v>
      </c>
      <c r="J5" s="7">
        <f t="shared" si="0"/>
        <v>40031</v>
      </c>
      <c r="K5" s="7">
        <f t="shared" si="0"/>
        <v>40062</v>
      </c>
      <c r="L5" s="7">
        <f t="shared" si="0"/>
        <v>40093</v>
      </c>
      <c r="M5" s="7">
        <f t="shared" si="0"/>
        <v>40124</v>
      </c>
      <c r="N5" s="7">
        <f t="shared" si="0"/>
        <v>40155</v>
      </c>
      <c r="O5" s="13" t="s">
        <v>62</v>
      </c>
      <c r="P5" s="32" t="s">
        <v>3</v>
      </c>
    </row>
    <row r="6" spans="1:16" hidden="1" x14ac:dyDescent="0.25">
      <c r="A6" t="s">
        <v>80</v>
      </c>
    </row>
    <row r="7" spans="1:16" hidden="1" x14ac:dyDescent="0.25">
      <c r="A7" t="s">
        <v>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136950</v>
      </c>
    </row>
    <row r="8" spans="1:16" hidden="1" x14ac:dyDescent="0.25">
      <c r="A8" t="s">
        <v>5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126000</v>
      </c>
    </row>
    <row r="9" spans="1:16" hidden="1" x14ac:dyDescent="0.25">
      <c r="A9" t="s">
        <v>6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126000</v>
      </c>
    </row>
    <row r="10" spans="1:16" hidden="1" x14ac:dyDescent="0.25">
      <c r="A10" t="s">
        <v>7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</row>
    <row r="11" spans="1:16" hidden="1" x14ac:dyDescent="0.25">
      <c r="A11" t="s">
        <v>8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40000</v>
      </c>
    </row>
    <row r="12" spans="1:16" hidden="1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</row>
    <row r="13" spans="1:16" hidden="1" x14ac:dyDescent="0.25">
      <c r="A13" t="s">
        <v>10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55000.000000000007</v>
      </c>
    </row>
    <row r="14" spans="1:16" hidden="1" x14ac:dyDescent="0.25">
      <c r="A14" t="s">
        <v>11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6" hidden="1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6" hidden="1" x14ac:dyDescent="0.25">
      <c r="A16" t="s">
        <v>13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40000</v>
      </c>
    </row>
    <row r="17" spans="1:15" hidden="1" x14ac:dyDescent="0.25">
      <c r="A17" t="s">
        <v>14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</row>
    <row r="18" spans="1:15" ht="15.75" customHeight="1" x14ac:dyDescent="0.25">
      <c r="A18" t="s">
        <v>93</v>
      </c>
      <c r="O18" t="s">
        <v>1</v>
      </c>
    </row>
    <row r="19" spans="1:15" ht="15.75" customHeight="1" x14ac:dyDescent="0.25">
      <c r="A19" t="s">
        <v>98</v>
      </c>
      <c r="B19" s="1">
        <f t="shared" ref="B19:B26" si="1">SUM(C19:N19)</f>
        <v>0</v>
      </c>
    </row>
    <row r="20" spans="1:15" ht="15.75" customHeight="1" x14ac:dyDescent="0.25">
      <c r="A20" t="s">
        <v>104</v>
      </c>
      <c r="B20" s="1">
        <f t="shared" si="1"/>
        <v>0</v>
      </c>
    </row>
    <row r="21" spans="1:15" ht="15.75" customHeight="1" x14ac:dyDescent="0.25">
      <c r="A21" t="s">
        <v>116</v>
      </c>
      <c r="B21" s="1">
        <f t="shared" si="1"/>
        <v>0</v>
      </c>
    </row>
    <row r="22" spans="1:15" ht="15.75" customHeight="1" x14ac:dyDescent="0.25">
      <c r="A22" t="s">
        <v>86</v>
      </c>
      <c r="B22" s="1">
        <f t="shared" si="1"/>
        <v>0</v>
      </c>
    </row>
    <row r="23" spans="1:15" ht="15.75" customHeight="1" x14ac:dyDescent="0.25">
      <c r="A23" t="s">
        <v>87</v>
      </c>
      <c r="B23" s="1">
        <f t="shared" si="1"/>
        <v>0</v>
      </c>
    </row>
    <row r="24" spans="1:15" ht="15.75" customHeight="1" x14ac:dyDescent="0.25">
      <c r="A24" t="s">
        <v>88</v>
      </c>
      <c r="B24" s="1">
        <f t="shared" si="1"/>
        <v>0</v>
      </c>
    </row>
    <row r="25" spans="1:15" ht="15.75" customHeight="1" x14ac:dyDescent="0.25">
      <c r="A25" t="s">
        <v>105</v>
      </c>
      <c r="B25" s="1">
        <f t="shared" si="1"/>
        <v>0</v>
      </c>
    </row>
    <row r="26" spans="1:15" ht="15.75" customHeight="1" x14ac:dyDescent="0.25">
      <c r="A26" t="s">
        <v>106</v>
      </c>
      <c r="B26" s="1">
        <f t="shared" si="1"/>
        <v>0</v>
      </c>
    </row>
    <row r="27" spans="1:15" ht="15.75" customHeight="1" x14ac:dyDescent="0.25">
      <c r="A27" t="s">
        <v>107</v>
      </c>
      <c r="B27" s="4">
        <f>SUM(C23:N23)</f>
        <v>0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15" ht="15.75" customHeight="1" x14ac:dyDescent="0.25">
      <c r="A28" t="s">
        <v>94</v>
      </c>
      <c r="B28" s="19">
        <f>SUM(B23:B27)</f>
        <v>0</v>
      </c>
      <c r="C28" s="19">
        <f t="shared" ref="C28:N28" si="2">SUM(C23:C27)</f>
        <v>0</v>
      </c>
      <c r="D28" s="19">
        <f t="shared" si="2"/>
        <v>0</v>
      </c>
      <c r="E28" s="19">
        <f t="shared" si="2"/>
        <v>0</v>
      </c>
      <c r="F28" s="19">
        <f t="shared" si="2"/>
        <v>0</v>
      </c>
      <c r="G28" s="19">
        <f t="shared" si="2"/>
        <v>0</v>
      </c>
      <c r="H28" s="19">
        <f t="shared" si="2"/>
        <v>0</v>
      </c>
      <c r="I28" s="19">
        <f t="shared" si="2"/>
        <v>0</v>
      </c>
      <c r="J28" s="19">
        <f t="shared" si="2"/>
        <v>0</v>
      </c>
      <c r="K28" s="19">
        <f t="shared" si="2"/>
        <v>0</v>
      </c>
      <c r="L28" s="19">
        <f t="shared" si="2"/>
        <v>0</v>
      </c>
      <c r="M28" s="19">
        <f t="shared" si="2"/>
        <v>0</v>
      </c>
      <c r="N28" s="19">
        <f t="shared" si="2"/>
        <v>0</v>
      </c>
    </row>
    <row r="29" spans="1:15" ht="15.75" customHeight="1" x14ac:dyDescent="0.2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5" ht="15.75" customHeight="1" x14ac:dyDescent="0.25">
      <c r="A30" t="s">
        <v>96</v>
      </c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5" ht="15.75" customHeight="1" x14ac:dyDescent="0.25">
      <c r="A31" t="s">
        <v>95</v>
      </c>
      <c r="B31" s="4">
        <f>SUM(C27:N27)</f>
        <v>0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5" ht="15.75" customHeight="1" x14ac:dyDescent="0.25">
      <c r="A32" t="s">
        <v>97</v>
      </c>
      <c r="B32" s="19">
        <f>B28-B31</f>
        <v>0</v>
      </c>
      <c r="C32" s="19">
        <f t="shared" ref="C32:N32" si="3">C28-C31</f>
        <v>0</v>
      </c>
      <c r="D32" s="19">
        <f t="shared" si="3"/>
        <v>0</v>
      </c>
      <c r="E32" s="19">
        <f t="shared" si="3"/>
        <v>0</v>
      </c>
      <c r="F32" s="19">
        <f t="shared" si="3"/>
        <v>0</v>
      </c>
      <c r="G32" s="19">
        <f t="shared" si="3"/>
        <v>0</v>
      </c>
      <c r="H32" s="19">
        <f t="shared" si="3"/>
        <v>0</v>
      </c>
      <c r="I32" s="19">
        <f t="shared" si="3"/>
        <v>0</v>
      </c>
      <c r="J32" s="19">
        <f t="shared" si="3"/>
        <v>0</v>
      </c>
      <c r="K32" s="19">
        <f t="shared" si="3"/>
        <v>0</v>
      </c>
      <c r="L32" s="19">
        <f t="shared" si="3"/>
        <v>0</v>
      </c>
      <c r="M32" s="19">
        <f t="shared" si="3"/>
        <v>0</v>
      </c>
      <c r="N32" s="19">
        <f t="shared" si="3"/>
        <v>0</v>
      </c>
    </row>
    <row r="33" spans="1:19" ht="15.75" customHeight="1" x14ac:dyDescent="0.25"/>
    <row r="34" spans="1:19" ht="15.75" customHeight="1" x14ac:dyDescent="0.25">
      <c r="A34" t="s">
        <v>92</v>
      </c>
    </row>
    <row r="35" spans="1:19" ht="15.75" customHeight="1" x14ac:dyDescent="0.25">
      <c r="A35" t="s">
        <v>21</v>
      </c>
      <c r="B35" s="1">
        <f>SUM(C35:N35)</f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523950.00000000006</v>
      </c>
      <c r="P35" s="15" t="s">
        <v>1</v>
      </c>
      <c r="Q35" s="1" t="s">
        <v>1</v>
      </c>
      <c r="R35" s="16" t="s">
        <v>1</v>
      </c>
      <c r="S35" s="16" t="s">
        <v>1</v>
      </c>
    </row>
    <row r="36" spans="1:19" ht="15.75" customHeight="1" x14ac:dyDescent="0.25">
      <c r="A36" t="s">
        <v>23</v>
      </c>
      <c r="B36" s="1">
        <f>SUM(C36:N36)</f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130987.5</v>
      </c>
      <c r="P36" s="15" t="s">
        <v>1</v>
      </c>
    </row>
    <row r="37" spans="1:19" ht="15.75" customHeight="1" x14ac:dyDescent="0.25">
      <c r="A37" t="s">
        <v>25</v>
      </c>
      <c r="B37" s="1">
        <f>SUM(C37:N37)</f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9000</v>
      </c>
      <c r="P37" s="15" t="s">
        <v>1</v>
      </c>
    </row>
    <row r="38" spans="1:19" ht="15.75" customHeight="1" x14ac:dyDescent="0.25">
      <c r="A38" t="s">
        <v>27</v>
      </c>
      <c r="B38" s="1">
        <f>SUM(C38:N38)</f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52395</v>
      </c>
      <c r="P38" s="15" t="s">
        <v>1</v>
      </c>
      <c r="Q38" s="16" t="s">
        <v>1</v>
      </c>
      <c r="R38" s="16" t="s">
        <v>1</v>
      </c>
      <c r="S38" s="16" t="s">
        <v>1</v>
      </c>
    </row>
    <row r="39" spans="1:19" ht="15.75" customHeight="1" x14ac:dyDescent="0.25">
      <c r="A39" t="s">
        <v>29</v>
      </c>
      <c r="B39" s="4">
        <f>SUM(C39:N39)</f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150000</v>
      </c>
      <c r="P39" s="15" t="s">
        <v>1</v>
      </c>
    </row>
    <row r="40" spans="1:19" ht="15.75" customHeight="1" x14ac:dyDescent="0.25">
      <c r="A40" t="s">
        <v>31</v>
      </c>
      <c r="B40" s="1">
        <f>SUM(B35:B39)</f>
        <v>0</v>
      </c>
      <c r="C40" s="1">
        <f>SUM(C35:C39)</f>
        <v>0</v>
      </c>
      <c r="D40" s="1">
        <f t="shared" ref="D40:N40" si="4">SUM(D35:D39)</f>
        <v>0</v>
      </c>
      <c r="E40" s="1">
        <f t="shared" si="4"/>
        <v>0</v>
      </c>
      <c r="F40" s="1">
        <f t="shared" si="4"/>
        <v>0</v>
      </c>
      <c r="G40" s="1">
        <f t="shared" si="4"/>
        <v>0</v>
      </c>
      <c r="H40" s="1">
        <f t="shared" si="4"/>
        <v>0</v>
      </c>
      <c r="I40" s="1">
        <f t="shared" si="4"/>
        <v>0</v>
      </c>
      <c r="J40" s="1">
        <f t="shared" si="4"/>
        <v>0</v>
      </c>
      <c r="K40" s="1">
        <f t="shared" si="4"/>
        <v>0</v>
      </c>
      <c r="L40" s="1">
        <f t="shared" si="4"/>
        <v>0</v>
      </c>
      <c r="M40" s="1">
        <f t="shared" si="4"/>
        <v>0</v>
      </c>
      <c r="N40" s="1">
        <f t="shared" si="4"/>
        <v>0</v>
      </c>
      <c r="O40" s="1">
        <v>866332.5</v>
      </c>
      <c r="P40" s="15" t="s">
        <v>1</v>
      </c>
    </row>
    <row r="41" spans="1:19" ht="15.7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>
        <v>0</v>
      </c>
      <c r="P41" s="15" t="s">
        <v>1</v>
      </c>
    </row>
    <row r="42" spans="1:19" ht="15.75" customHeight="1" x14ac:dyDescent="0.25">
      <c r="A42" t="s">
        <v>32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>
        <v>0</v>
      </c>
    </row>
    <row r="43" spans="1:19" ht="15.75" customHeight="1" x14ac:dyDescent="0.25">
      <c r="A43" t="s">
        <v>33</v>
      </c>
      <c r="B43" s="1">
        <f t="shared" ref="B43:B59" si="5">SUM(C43:N43)</f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9000</v>
      </c>
      <c r="P43" s="15" t="s">
        <v>1</v>
      </c>
      <c r="Q43" t="s">
        <v>1</v>
      </c>
    </row>
    <row r="44" spans="1:19" ht="15.75" customHeight="1" x14ac:dyDescent="0.25">
      <c r="A44" t="s">
        <v>35</v>
      </c>
      <c r="B44" s="1">
        <f t="shared" si="5"/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4800</v>
      </c>
      <c r="P44" s="15" t="s">
        <v>1</v>
      </c>
    </row>
    <row r="45" spans="1:19" ht="15.75" customHeight="1" x14ac:dyDescent="0.25">
      <c r="A45" t="s">
        <v>37</v>
      </c>
      <c r="B45" s="1">
        <f t="shared" si="5"/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7500</v>
      </c>
      <c r="P45" s="15" t="s">
        <v>1</v>
      </c>
    </row>
    <row r="46" spans="1:19" ht="15.75" customHeight="1" x14ac:dyDescent="0.25">
      <c r="A46" t="s">
        <v>39</v>
      </c>
      <c r="B46" s="1">
        <f t="shared" si="5"/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5400</v>
      </c>
      <c r="P46" s="15" t="s">
        <v>1</v>
      </c>
      <c r="Q46" t="s">
        <v>1</v>
      </c>
    </row>
    <row r="47" spans="1:19" ht="15.75" customHeight="1" x14ac:dyDescent="0.25">
      <c r="A47" t="s">
        <v>41</v>
      </c>
      <c r="B47" s="1">
        <f t="shared" si="5"/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600</v>
      </c>
      <c r="P47" s="15" t="s">
        <v>1</v>
      </c>
    </row>
    <row r="48" spans="1:19" ht="15.75" customHeight="1" x14ac:dyDescent="0.25">
      <c r="A48" t="s">
        <v>81</v>
      </c>
      <c r="B48" s="1">
        <f t="shared" si="5"/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7200</v>
      </c>
      <c r="P48" s="15" t="s">
        <v>1</v>
      </c>
    </row>
    <row r="49" spans="1:17" ht="15.75" customHeight="1" x14ac:dyDescent="0.25">
      <c r="A49" t="s">
        <v>45</v>
      </c>
      <c r="B49" s="1">
        <f t="shared" si="5"/>
        <v>4500</v>
      </c>
      <c r="C49" s="1">
        <v>375</v>
      </c>
      <c r="D49" s="1">
        <v>375</v>
      </c>
      <c r="E49" s="1">
        <v>375</v>
      </c>
      <c r="F49" s="1">
        <v>375</v>
      </c>
      <c r="G49" s="1">
        <v>375</v>
      </c>
      <c r="H49" s="1">
        <v>375</v>
      </c>
      <c r="I49" s="1">
        <v>375</v>
      </c>
      <c r="J49" s="1">
        <v>375</v>
      </c>
      <c r="K49" s="1">
        <v>375</v>
      </c>
      <c r="L49" s="1">
        <v>375</v>
      </c>
      <c r="M49" s="1">
        <v>375</v>
      </c>
      <c r="N49" s="1">
        <v>375</v>
      </c>
      <c r="O49" s="1">
        <v>3600</v>
      </c>
      <c r="P49" s="15" t="s">
        <v>110</v>
      </c>
    </row>
    <row r="50" spans="1:17" ht="15.75" customHeight="1" x14ac:dyDescent="0.25">
      <c r="A50" t="s">
        <v>46</v>
      </c>
      <c r="B50" s="1">
        <f t="shared" si="5"/>
        <v>4800</v>
      </c>
      <c r="C50" s="1">
        <v>0</v>
      </c>
      <c r="D50" s="1">
        <f>1200</f>
        <v>1200</v>
      </c>
      <c r="E50" s="1">
        <v>0</v>
      </c>
      <c r="F50" s="1">
        <f>1200</f>
        <v>1200</v>
      </c>
      <c r="G50" s="1">
        <v>0</v>
      </c>
      <c r="H50" s="1">
        <v>0</v>
      </c>
      <c r="I50" s="1">
        <f>1200</f>
        <v>1200</v>
      </c>
      <c r="J50" s="1">
        <v>0</v>
      </c>
      <c r="K50" s="1">
        <v>0</v>
      </c>
      <c r="L50" s="1">
        <f>1200</f>
        <v>1200</v>
      </c>
      <c r="M50" s="1">
        <v>0</v>
      </c>
      <c r="N50" s="1">
        <v>0</v>
      </c>
      <c r="O50" s="1">
        <v>9000</v>
      </c>
      <c r="P50" s="15" t="s">
        <v>109</v>
      </c>
    </row>
    <row r="51" spans="1:17" ht="15.75" customHeight="1" x14ac:dyDescent="0.25">
      <c r="A51" t="s">
        <v>48</v>
      </c>
      <c r="B51" s="1">
        <f t="shared" si="5"/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6000</v>
      </c>
      <c r="P51" s="15" t="s">
        <v>1</v>
      </c>
    </row>
    <row r="52" spans="1:17" ht="15.75" customHeight="1" x14ac:dyDescent="0.25">
      <c r="A52" t="s">
        <v>50</v>
      </c>
      <c r="B52" s="1">
        <f t="shared" si="5"/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17800.000000000004</v>
      </c>
      <c r="P52" s="15" t="s">
        <v>1</v>
      </c>
      <c r="Q52" t="s">
        <v>1</v>
      </c>
    </row>
    <row r="53" spans="1:17" ht="15.75" customHeight="1" x14ac:dyDescent="0.25">
      <c r="A53" t="s">
        <v>78</v>
      </c>
      <c r="B53" s="1">
        <f t="shared" si="5"/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/>
      <c r="P53" s="15" t="s">
        <v>1</v>
      </c>
    </row>
    <row r="54" spans="1:17" ht="15.75" customHeight="1" x14ac:dyDescent="0.25">
      <c r="A54" t="s">
        <v>52</v>
      </c>
      <c r="B54" s="1">
        <f t="shared" si="5"/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480</v>
      </c>
      <c r="P54" s="15" t="s">
        <v>1</v>
      </c>
    </row>
    <row r="55" spans="1:17" ht="15.75" customHeight="1" x14ac:dyDescent="0.25">
      <c r="A55" t="s">
        <v>54</v>
      </c>
      <c r="B55" s="1">
        <f t="shared" si="5"/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36000</v>
      </c>
      <c r="P55" s="15" t="s">
        <v>1</v>
      </c>
    </row>
    <row r="56" spans="1:17" ht="15.75" customHeight="1" x14ac:dyDescent="0.25">
      <c r="A56" t="s">
        <v>100</v>
      </c>
      <c r="B56" s="1">
        <f>SUM(C56:N56)</f>
        <v>0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7" ht="15.75" customHeight="1" x14ac:dyDescent="0.25">
      <c r="A57" t="s">
        <v>56</v>
      </c>
      <c r="B57" s="1">
        <f t="shared" si="5"/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3780</v>
      </c>
      <c r="P57" s="15" t="s">
        <v>1</v>
      </c>
    </row>
    <row r="58" spans="1:17" ht="15.75" customHeight="1" x14ac:dyDescent="0.25">
      <c r="A58" t="s">
        <v>58</v>
      </c>
      <c r="B58" s="1">
        <f t="shared" si="5"/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5" t="s">
        <v>1</v>
      </c>
    </row>
    <row r="59" spans="1:17" ht="15.75" customHeight="1" x14ac:dyDescent="0.25">
      <c r="A59" t="s">
        <v>60</v>
      </c>
      <c r="B59" s="4">
        <f t="shared" si="5"/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-280131</v>
      </c>
    </row>
    <row r="60" spans="1:17" ht="15.75" customHeight="1" x14ac:dyDescent="0.25">
      <c r="A60" t="s">
        <v>31</v>
      </c>
      <c r="B60" s="1">
        <f>SUM(B43:B59)</f>
        <v>9300</v>
      </c>
      <c r="C60" s="1">
        <f>SUM(C43:C59)</f>
        <v>375</v>
      </c>
      <c r="D60" s="1">
        <f t="shared" ref="D60:N60" si="6">SUM(D43:D59)</f>
        <v>1575</v>
      </c>
      <c r="E60" s="1">
        <f t="shared" si="6"/>
        <v>375</v>
      </c>
      <c r="F60" s="1">
        <f t="shared" si="6"/>
        <v>1575</v>
      </c>
      <c r="G60" s="1">
        <f t="shared" si="6"/>
        <v>375</v>
      </c>
      <c r="H60" s="1">
        <f t="shared" si="6"/>
        <v>375</v>
      </c>
      <c r="I60" s="1">
        <f t="shared" si="6"/>
        <v>1575</v>
      </c>
      <c r="J60" s="1">
        <f t="shared" si="6"/>
        <v>375</v>
      </c>
      <c r="K60" s="1">
        <f t="shared" si="6"/>
        <v>375</v>
      </c>
      <c r="L60" s="1">
        <f t="shared" si="6"/>
        <v>1575</v>
      </c>
      <c r="M60" s="1">
        <f t="shared" si="6"/>
        <v>375</v>
      </c>
      <c r="N60" s="1">
        <f t="shared" si="6"/>
        <v>375</v>
      </c>
      <c r="O60" s="1">
        <v>-144971</v>
      </c>
    </row>
    <row r="61" spans="1:17" ht="15.7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>
        <v>0</v>
      </c>
    </row>
    <row r="62" spans="1:17" ht="15.75" customHeight="1" x14ac:dyDescent="0.25">
      <c r="A62" t="s">
        <v>102</v>
      </c>
      <c r="B62" s="4">
        <f>SUM(C62:N62)</f>
        <v>9300</v>
      </c>
      <c r="C62" s="4">
        <f t="shared" ref="C62:N62" si="7">C40+C60</f>
        <v>375</v>
      </c>
      <c r="D62" s="4">
        <f t="shared" si="7"/>
        <v>1575</v>
      </c>
      <c r="E62" s="4">
        <f t="shared" si="7"/>
        <v>375</v>
      </c>
      <c r="F62" s="4">
        <f t="shared" si="7"/>
        <v>1575</v>
      </c>
      <c r="G62" s="4">
        <f t="shared" si="7"/>
        <v>375</v>
      </c>
      <c r="H62" s="4">
        <f t="shared" si="7"/>
        <v>375</v>
      </c>
      <c r="I62" s="4">
        <f t="shared" si="7"/>
        <v>1575</v>
      </c>
      <c r="J62" s="4">
        <f t="shared" si="7"/>
        <v>375</v>
      </c>
      <c r="K62" s="4">
        <f t="shared" si="7"/>
        <v>375</v>
      </c>
      <c r="L62" s="4">
        <f t="shared" si="7"/>
        <v>1575</v>
      </c>
      <c r="M62" s="4">
        <f t="shared" si="7"/>
        <v>375</v>
      </c>
      <c r="N62" s="4">
        <f t="shared" si="7"/>
        <v>375</v>
      </c>
      <c r="O62" s="1"/>
    </row>
    <row r="63" spans="1:17" ht="15.7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7" ht="15.75" customHeight="1" x14ac:dyDescent="0.25">
      <c r="A64" t="s">
        <v>62</v>
      </c>
      <c r="B64" s="1">
        <f t="shared" ref="B64:N64" si="8">B40+B60</f>
        <v>9300</v>
      </c>
      <c r="C64" s="1">
        <f t="shared" si="8"/>
        <v>375</v>
      </c>
      <c r="D64" s="1">
        <f t="shared" si="8"/>
        <v>1575</v>
      </c>
      <c r="E64" s="1">
        <f t="shared" si="8"/>
        <v>375</v>
      </c>
      <c r="F64" s="1">
        <f t="shared" si="8"/>
        <v>1575</v>
      </c>
      <c r="G64" s="1">
        <f t="shared" si="8"/>
        <v>375</v>
      </c>
      <c r="H64" s="1">
        <f t="shared" si="8"/>
        <v>375</v>
      </c>
      <c r="I64" s="1">
        <f t="shared" si="8"/>
        <v>1575</v>
      </c>
      <c r="J64" s="1">
        <f t="shared" si="8"/>
        <v>375</v>
      </c>
      <c r="K64" s="1">
        <f t="shared" si="8"/>
        <v>375</v>
      </c>
      <c r="L64" s="1">
        <f t="shared" si="8"/>
        <v>1575</v>
      </c>
      <c r="M64" s="1">
        <f t="shared" si="8"/>
        <v>375</v>
      </c>
      <c r="N64" s="1">
        <f t="shared" si="8"/>
        <v>375</v>
      </c>
      <c r="O64" s="1">
        <f>SUM(C64:N64)</f>
        <v>9300</v>
      </c>
    </row>
    <row r="65" spans="1:15" ht="15.75" customHeight="1" x14ac:dyDescent="0.25">
      <c r="A65" t="s">
        <v>63</v>
      </c>
      <c r="B65" s="1"/>
      <c r="C65" s="1">
        <f>C64</f>
        <v>375</v>
      </c>
      <c r="D65" s="1">
        <f t="shared" ref="D65:N65" si="9">D64</f>
        <v>1575</v>
      </c>
      <c r="E65" s="1">
        <f t="shared" si="9"/>
        <v>375</v>
      </c>
      <c r="F65" s="1">
        <f t="shared" si="9"/>
        <v>1575</v>
      </c>
      <c r="G65" s="1">
        <f t="shared" si="9"/>
        <v>375</v>
      </c>
      <c r="H65" s="1">
        <f t="shared" si="9"/>
        <v>375</v>
      </c>
      <c r="I65" s="1">
        <f t="shared" si="9"/>
        <v>1575</v>
      </c>
      <c r="J65" s="1">
        <f t="shared" si="9"/>
        <v>375</v>
      </c>
      <c r="K65" s="1">
        <f t="shared" si="9"/>
        <v>375</v>
      </c>
      <c r="L65" s="1">
        <f t="shared" si="9"/>
        <v>1575</v>
      </c>
      <c r="M65" s="1">
        <f t="shared" si="9"/>
        <v>375</v>
      </c>
      <c r="N65" s="1">
        <f t="shared" si="9"/>
        <v>375</v>
      </c>
      <c r="O65" s="1" t="s">
        <v>1</v>
      </c>
    </row>
    <row r="68" spans="1:15" ht="15.75" thickBot="1" x14ac:dyDescent="0.3">
      <c r="A68" t="s">
        <v>101</v>
      </c>
      <c r="B68" s="22">
        <f>SUM(C68:N68)</f>
        <v>-9300</v>
      </c>
      <c r="C68" s="22">
        <f t="shared" ref="C68:N68" si="10">C32-C62</f>
        <v>-375</v>
      </c>
      <c r="D68" s="22">
        <f t="shared" si="10"/>
        <v>-1575</v>
      </c>
      <c r="E68" s="22">
        <f t="shared" si="10"/>
        <v>-375</v>
      </c>
      <c r="F68" s="22">
        <f t="shared" si="10"/>
        <v>-1575</v>
      </c>
      <c r="G68" s="22">
        <f t="shared" si="10"/>
        <v>-375</v>
      </c>
      <c r="H68" s="22">
        <f t="shared" si="10"/>
        <v>-375</v>
      </c>
      <c r="I68" s="22">
        <f t="shared" si="10"/>
        <v>-1575</v>
      </c>
      <c r="J68" s="22">
        <f t="shared" si="10"/>
        <v>-375</v>
      </c>
      <c r="K68" s="22">
        <f t="shared" si="10"/>
        <v>-375</v>
      </c>
      <c r="L68" s="22">
        <f t="shared" si="10"/>
        <v>-1575</v>
      </c>
      <c r="M68" s="22">
        <f t="shared" si="10"/>
        <v>-375</v>
      </c>
      <c r="N68" s="22">
        <f t="shared" si="10"/>
        <v>-375</v>
      </c>
    </row>
    <row r="69" spans="1:15" ht="15.75" thickTop="1" x14ac:dyDescent="0.25"/>
  </sheetData>
  <pageMargins left="0.7" right="0.7" top="0.75" bottom="0.75" header="0.3" footer="0.3"/>
  <pageSetup scale="51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69"/>
  <sheetViews>
    <sheetView workbookViewId="0">
      <pane xSplit="1" ySplit="17" topLeftCell="B18" activePane="bottomRight" state="frozen"/>
      <selection activeCell="A27" sqref="A27"/>
      <selection pane="topRight" activeCell="A27" sqref="A27"/>
      <selection pane="bottomLeft" activeCell="A27" sqref="A27"/>
      <selection pane="bottomRight" activeCell="A27" sqref="A27"/>
    </sheetView>
  </sheetViews>
  <sheetFormatPr defaultRowHeight="15" x14ac:dyDescent="0.25"/>
  <cols>
    <col min="1" max="1" width="26.42578125" customWidth="1"/>
    <col min="2" max="2" width="10.7109375" bestFit="1" customWidth="1"/>
    <col min="3" max="3" width="9.7109375" bestFit="1" customWidth="1"/>
    <col min="4" max="14" width="10" bestFit="1" customWidth="1"/>
    <col min="15" max="15" width="11.5703125" hidden="1" customWidth="1"/>
    <col min="16" max="16" width="45.7109375" style="15" customWidth="1"/>
  </cols>
  <sheetData>
    <row r="2" spans="1:16" ht="15.75" x14ac:dyDescent="0.25">
      <c r="A2" s="8" t="s">
        <v>0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31"/>
    </row>
    <row r="3" spans="1:16" ht="15.75" x14ac:dyDescent="0.25">
      <c r="A3" s="8" t="str">
        <f>'Budget Summary'!A3</f>
        <v>2009 Operating Budget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31"/>
    </row>
    <row r="4" spans="1:16" ht="15.75" x14ac:dyDescent="0.25">
      <c r="A4" s="14" t="s">
        <v>85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31"/>
    </row>
    <row r="5" spans="1:16" ht="15.75" x14ac:dyDescent="0.25">
      <c r="A5" s="12"/>
      <c r="B5" s="6" t="s">
        <v>2</v>
      </c>
      <c r="C5" s="7">
        <f>'Budget Summary'!C5</f>
        <v>39814</v>
      </c>
      <c r="D5" s="7">
        <f>C5+31</f>
        <v>39845</v>
      </c>
      <c r="E5" s="7">
        <f t="shared" ref="E5:N5" si="0">D5+31</f>
        <v>39876</v>
      </c>
      <c r="F5" s="7">
        <f t="shared" si="0"/>
        <v>39907</v>
      </c>
      <c r="G5" s="7">
        <f t="shared" si="0"/>
        <v>39938</v>
      </c>
      <c r="H5" s="7">
        <f t="shared" si="0"/>
        <v>39969</v>
      </c>
      <c r="I5" s="7">
        <f t="shared" si="0"/>
        <v>40000</v>
      </c>
      <c r="J5" s="7">
        <f t="shared" si="0"/>
        <v>40031</v>
      </c>
      <c r="K5" s="7">
        <f t="shared" si="0"/>
        <v>40062</v>
      </c>
      <c r="L5" s="7">
        <f t="shared" si="0"/>
        <v>40093</v>
      </c>
      <c r="M5" s="7">
        <f t="shared" si="0"/>
        <v>40124</v>
      </c>
      <c r="N5" s="7">
        <f t="shared" si="0"/>
        <v>40155</v>
      </c>
      <c r="O5" s="13" t="s">
        <v>62</v>
      </c>
      <c r="P5" s="32" t="s">
        <v>3</v>
      </c>
    </row>
    <row r="6" spans="1:16" hidden="1" x14ac:dyDescent="0.25">
      <c r="A6" t="s">
        <v>80</v>
      </c>
    </row>
    <row r="7" spans="1:16" hidden="1" x14ac:dyDescent="0.25">
      <c r="A7" t="s">
        <v>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136950</v>
      </c>
    </row>
    <row r="8" spans="1:16" hidden="1" x14ac:dyDescent="0.25">
      <c r="A8" t="s">
        <v>5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126000</v>
      </c>
    </row>
    <row r="9" spans="1:16" hidden="1" x14ac:dyDescent="0.25">
      <c r="A9" t="s">
        <v>6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126000</v>
      </c>
    </row>
    <row r="10" spans="1:16" hidden="1" x14ac:dyDescent="0.25">
      <c r="A10" t="s">
        <v>7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</row>
    <row r="11" spans="1:16" hidden="1" x14ac:dyDescent="0.25">
      <c r="A11" t="s">
        <v>8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40000</v>
      </c>
    </row>
    <row r="12" spans="1:16" hidden="1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</row>
    <row r="13" spans="1:16" hidden="1" x14ac:dyDescent="0.25">
      <c r="A13" t="s">
        <v>10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55000.000000000007</v>
      </c>
    </row>
    <row r="14" spans="1:16" hidden="1" x14ac:dyDescent="0.25">
      <c r="A14" t="s">
        <v>11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6" hidden="1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6" hidden="1" x14ac:dyDescent="0.25">
      <c r="A16" t="s">
        <v>13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40000</v>
      </c>
    </row>
    <row r="17" spans="1:16" hidden="1" x14ac:dyDescent="0.25">
      <c r="A17" t="s">
        <v>14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</row>
    <row r="18" spans="1:16" ht="15.75" customHeight="1" x14ac:dyDescent="0.25">
      <c r="A18" t="s">
        <v>93</v>
      </c>
      <c r="O18" t="s">
        <v>1</v>
      </c>
    </row>
    <row r="19" spans="1:16" ht="15.75" customHeight="1" x14ac:dyDescent="0.25">
      <c r="A19" t="s">
        <v>98</v>
      </c>
      <c r="B19" s="1">
        <f t="shared" ref="B19:B26" si="1">SUM(C19:N19)</f>
        <v>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6" ht="15.75" customHeight="1" x14ac:dyDescent="0.25">
      <c r="A20" t="s">
        <v>104</v>
      </c>
      <c r="B20" s="1">
        <f t="shared" si="1"/>
        <v>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6" ht="15.75" customHeight="1" x14ac:dyDescent="0.25">
      <c r="A21" t="s">
        <v>85</v>
      </c>
      <c r="B21" s="1">
        <f t="shared" si="1"/>
        <v>129365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129365</v>
      </c>
      <c r="P21" s="15" t="s">
        <v>120</v>
      </c>
    </row>
    <row r="22" spans="1:16" ht="15.75" customHeight="1" x14ac:dyDescent="0.25">
      <c r="A22" t="s">
        <v>86</v>
      </c>
      <c r="B22" s="1">
        <f t="shared" si="1"/>
        <v>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6" ht="15.75" customHeight="1" x14ac:dyDescent="0.25">
      <c r="A23" t="s">
        <v>87</v>
      </c>
      <c r="B23" s="1">
        <f t="shared" si="1"/>
        <v>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6" ht="15.75" customHeight="1" x14ac:dyDescent="0.25">
      <c r="A24" t="s">
        <v>88</v>
      </c>
      <c r="B24" s="1">
        <f t="shared" si="1"/>
        <v>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6" ht="15.75" customHeight="1" x14ac:dyDescent="0.25">
      <c r="A25" t="s">
        <v>105</v>
      </c>
      <c r="B25" s="1">
        <f t="shared" si="1"/>
        <v>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6" ht="15.75" customHeight="1" x14ac:dyDescent="0.25">
      <c r="A26" t="s">
        <v>106</v>
      </c>
      <c r="B26" s="1">
        <f t="shared" si="1"/>
        <v>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6" ht="15.75" customHeight="1" x14ac:dyDescent="0.25">
      <c r="A27" t="s">
        <v>107</v>
      </c>
      <c r="B27" s="4">
        <f>SUM(C23:N23)</f>
        <v>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6" ht="15.75" customHeight="1" x14ac:dyDescent="0.25">
      <c r="A28" t="s">
        <v>94</v>
      </c>
      <c r="B28" s="19">
        <f>SUM(B23:B27)</f>
        <v>0</v>
      </c>
      <c r="C28" s="19">
        <f t="shared" ref="C28:N28" si="2">SUM(C23:C27)</f>
        <v>0</v>
      </c>
      <c r="D28" s="19">
        <f t="shared" si="2"/>
        <v>0</v>
      </c>
      <c r="E28" s="19">
        <f t="shared" si="2"/>
        <v>0</v>
      </c>
      <c r="F28" s="19">
        <f t="shared" si="2"/>
        <v>0</v>
      </c>
      <c r="G28" s="19">
        <f t="shared" si="2"/>
        <v>0</v>
      </c>
      <c r="H28" s="19">
        <f t="shared" si="2"/>
        <v>0</v>
      </c>
      <c r="I28" s="19">
        <f t="shared" si="2"/>
        <v>0</v>
      </c>
      <c r="J28" s="19">
        <f t="shared" si="2"/>
        <v>0</v>
      </c>
      <c r="K28" s="19">
        <f t="shared" si="2"/>
        <v>0</v>
      </c>
      <c r="L28" s="19">
        <f t="shared" si="2"/>
        <v>0</v>
      </c>
      <c r="M28" s="19">
        <f t="shared" si="2"/>
        <v>0</v>
      </c>
      <c r="N28" s="19">
        <f t="shared" si="2"/>
        <v>0</v>
      </c>
    </row>
    <row r="29" spans="1:16" ht="15.75" customHeight="1" x14ac:dyDescent="0.2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6" ht="15.75" customHeight="1" x14ac:dyDescent="0.25">
      <c r="A30" t="s">
        <v>96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6" ht="15.75" customHeight="1" x14ac:dyDescent="0.25">
      <c r="A31" t="s">
        <v>95</v>
      </c>
      <c r="B31" s="4">
        <f>SUM(C27:N27)</f>
        <v>0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6" ht="15.75" customHeight="1" x14ac:dyDescent="0.25">
      <c r="A32" t="s">
        <v>97</v>
      </c>
      <c r="B32" s="19">
        <f>B28-B31</f>
        <v>0</v>
      </c>
      <c r="C32" s="19">
        <f t="shared" ref="C32:N32" si="3">C28-C31</f>
        <v>0</v>
      </c>
      <c r="D32" s="19">
        <f t="shared" si="3"/>
        <v>0</v>
      </c>
      <c r="E32" s="19">
        <f t="shared" si="3"/>
        <v>0</v>
      </c>
      <c r="F32" s="19">
        <f t="shared" si="3"/>
        <v>0</v>
      </c>
      <c r="G32" s="19">
        <f t="shared" si="3"/>
        <v>0</v>
      </c>
      <c r="H32" s="19">
        <f t="shared" si="3"/>
        <v>0</v>
      </c>
      <c r="I32" s="19">
        <f t="shared" si="3"/>
        <v>0</v>
      </c>
      <c r="J32" s="19">
        <f t="shared" si="3"/>
        <v>0</v>
      </c>
      <c r="K32" s="19">
        <f t="shared" si="3"/>
        <v>0</v>
      </c>
      <c r="L32" s="19">
        <f t="shared" si="3"/>
        <v>0</v>
      </c>
      <c r="M32" s="19">
        <f t="shared" si="3"/>
        <v>0</v>
      </c>
      <c r="N32" s="19">
        <f t="shared" si="3"/>
        <v>0</v>
      </c>
    </row>
    <row r="33" spans="1:17" ht="15.75" customHeight="1" x14ac:dyDescent="0.2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7" ht="15.75" customHeight="1" x14ac:dyDescent="0.25">
      <c r="A34" t="s">
        <v>92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7" ht="15.75" customHeight="1" x14ac:dyDescent="0.25">
      <c r="A35" t="s">
        <v>21</v>
      </c>
      <c r="B35" s="1">
        <f>SUM(C35:N35)</f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523950.00000000006</v>
      </c>
      <c r="P35" s="15" t="s">
        <v>1</v>
      </c>
    </row>
    <row r="36" spans="1:17" ht="15.75" customHeight="1" x14ac:dyDescent="0.25">
      <c r="A36" t="s">
        <v>23</v>
      </c>
      <c r="B36" s="1">
        <f>SUM(C36:N36)</f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130987.5</v>
      </c>
      <c r="P36" s="15" t="s">
        <v>1</v>
      </c>
    </row>
    <row r="37" spans="1:17" ht="15.75" customHeight="1" x14ac:dyDescent="0.25">
      <c r="A37" t="s">
        <v>25</v>
      </c>
      <c r="B37" s="1">
        <f>SUM(C37:N37)</f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9000</v>
      </c>
      <c r="P37" s="15" t="s">
        <v>1</v>
      </c>
    </row>
    <row r="38" spans="1:17" ht="15.75" customHeight="1" x14ac:dyDescent="0.25">
      <c r="A38" t="s">
        <v>27</v>
      </c>
      <c r="B38" s="1">
        <f>SUM(C38:N38)</f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52395</v>
      </c>
      <c r="P38" s="15" t="s">
        <v>1</v>
      </c>
    </row>
    <row r="39" spans="1:17" ht="15.75" customHeight="1" x14ac:dyDescent="0.25">
      <c r="A39" t="s">
        <v>29</v>
      </c>
      <c r="B39" s="4">
        <f>SUM(C39:N39)</f>
        <v>129365.04</v>
      </c>
      <c r="C39" s="1">
        <f>10780.42</f>
        <v>10780.42</v>
      </c>
      <c r="D39" s="1">
        <f>C39</f>
        <v>10780.42</v>
      </c>
      <c r="E39" s="1">
        <f t="shared" ref="E39:N39" si="4">D39</f>
        <v>10780.42</v>
      </c>
      <c r="F39" s="1">
        <f t="shared" si="4"/>
        <v>10780.42</v>
      </c>
      <c r="G39" s="1">
        <f t="shared" si="4"/>
        <v>10780.42</v>
      </c>
      <c r="H39" s="1">
        <f t="shared" si="4"/>
        <v>10780.42</v>
      </c>
      <c r="I39" s="1">
        <f t="shared" si="4"/>
        <v>10780.42</v>
      </c>
      <c r="J39" s="1">
        <f t="shared" si="4"/>
        <v>10780.42</v>
      </c>
      <c r="K39" s="1">
        <f t="shared" si="4"/>
        <v>10780.42</v>
      </c>
      <c r="L39" s="1">
        <f t="shared" si="4"/>
        <v>10780.42</v>
      </c>
      <c r="M39" s="1">
        <f t="shared" si="4"/>
        <v>10780.42</v>
      </c>
      <c r="N39" s="1">
        <f t="shared" si="4"/>
        <v>10780.42</v>
      </c>
      <c r="O39" s="1"/>
      <c r="P39" s="15" t="s">
        <v>120</v>
      </c>
    </row>
    <row r="40" spans="1:17" ht="15.75" customHeight="1" x14ac:dyDescent="0.25">
      <c r="A40" t="s">
        <v>31</v>
      </c>
      <c r="B40" s="1">
        <f>SUM(B35:B39)</f>
        <v>129365.04</v>
      </c>
      <c r="C40" s="1">
        <f>SUM(C35:C39)</f>
        <v>10780.42</v>
      </c>
      <c r="D40" s="1">
        <f t="shared" ref="D40:N40" si="5">SUM(D35:D39)</f>
        <v>10780.42</v>
      </c>
      <c r="E40" s="1">
        <f t="shared" si="5"/>
        <v>10780.42</v>
      </c>
      <c r="F40" s="1">
        <f t="shared" si="5"/>
        <v>10780.42</v>
      </c>
      <c r="G40" s="1">
        <f t="shared" si="5"/>
        <v>10780.42</v>
      </c>
      <c r="H40" s="1">
        <f t="shared" si="5"/>
        <v>10780.42</v>
      </c>
      <c r="I40" s="1">
        <f t="shared" si="5"/>
        <v>10780.42</v>
      </c>
      <c r="J40" s="1">
        <f t="shared" si="5"/>
        <v>10780.42</v>
      </c>
      <c r="K40" s="1">
        <f t="shared" si="5"/>
        <v>10780.42</v>
      </c>
      <c r="L40" s="1">
        <f t="shared" si="5"/>
        <v>10780.42</v>
      </c>
      <c r="M40" s="1">
        <f t="shared" si="5"/>
        <v>10780.42</v>
      </c>
      <c r="N40" s="1">
        <f t="shared" si="5"/>
        <v>10780.42</v>
      </c>
      <c r="O40" s="1">
        <v>866332.5</v>
      </c>
      <c r="P40" s="15" t="s">
        <v>1</v>
      </c>
    </row>
    <row r="41" spans="1:17" ht="15.7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>
        <v>0</v>
      </c>
      <c r="P41" s="15" t="s">
        <v>1</v>
      </c>
    </row>
    <row r="42" spans="1:17" ht="15.75" customHeight="1" x14ac:dyDescent="0.25">
      <c r="A42" t="s">
        <v>32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>
        <v>0</v>
      </c>
    </row>
    <row r="43" spans="1:17" ht="15.75" customHeight="1" x14ac:dyDescent="0.25">
      <c r="A43" t="s">
        <v>117</v>
      </c>
      <c r="B43" s="1">
        <f t="shared" ref="B43:B59" si="6">SUM(C43:N43)</f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9000</v>
      </c>
      <c r="P43" s="15" t="s">
        <v>1</v>
      </c>
      <c r="Q43" t="s">
        <v>1</v>
      </c>
    </row>
    <row r="44" spans="1:17" ht="15.75" customHeight="1" x14ac:dyDescent="0.25">
      <c r="A44" t="s">
        <v>35</v>
      </c>
      <c r="B44" s="1">
        <f t="shared" si="6"/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4800</v>
      </c>
      <c r="P44" s="15" t="s">
        <v>1</v>
      </c>
    </row>
    <row r="45" spans="1:17" ht="15.75" customHeight="1" x14ac:dyDescent="0.25">
      <c r="A45" t="s">
        <v>37</v>
      </c>
      <c r="B45" s="1">
        <f t="shared" si="6"/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7500</v>
      </c>
      <c r="P45" s="15" t="s">
        <v>1</v>
      </c>
    </row>
    <row r="46" spans="1:17" ht="15.75" customHeight="1" x14ac:dyDescent="0.25">
      <c r="A46" t="s">
        <v>39</v>
      </c>
      <c r="B46" s="1">
        <f t="shared" si="6"/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5400</v>
      </c>
      <c r="P46" s="15" t="s">
        <v>1</v>
      </c>
      <c r="Q46" t="s">
        <v>1</v>
      </c>
    </row>
    <row r="47" spans="1:17" ht="15.75" customHeight="1" x14ac:dyDescent="0.25">
      <c r="A47" t="s">
        <v>41</v>
      </c>
      <c r="B47" s="1">
        <f t="shared" si="6"/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600</v>
      </c>
      <c r="P47" s="15" t="s">
        <v>1</v>
      </c>
    </row>
    <row r="48" spans="1:17" ht="15.75" customHeight="1" x14ac:dyDescent="0.25">
      <c r="A48" t="s">
        <v>81</v>
      </c>
      <c r="B48" s="1">
        <f t="shared" si="6"/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7200</v>
      </c>
      <c r="P48" s="15" t="s">
        <v>1</v>
      </c>
    </row>
    <row r="49" spans="1:17" ht="15.75" customHeight="1" x14ac:dyDescent="0.25">
      <c r="A49" t="s">
        <v>45</v>
      </c>
      <c r="B49" s="1">
        <f t="shared" si="6"/>
        <v>4020</v>
      </c>
      <c r="C49" s="1">
        <v>335</v>
      </c>
      <c r="D49" s="1">
        <f>C49</f>
        <v>335</v>
      </c>
      <c r="E49" s="1">
        <f t="shared" ref="E49:N49" si="7">D49</f>
        <v>335</v>
      </c>
      <c r="F49" s="1">
        <f t="shared" si="7"/>
        <v>335</v>
      </c>
      <c r="G49" s="1">
        <f t="shared" si="7"/>
        <v>335</v>
      </c>
      <c r="H49" s="1">
        <f t="shared" si="7"/>
        <v>335</v>
      </c>
      <c r="I49" s="1">
        <f t="shared" si="7"/>
        <v>335</v>
      </c>
      <c r="J49" s="1">
        <f t="shared" si="7"/>
        <v>335</v>
      </c>
      <c r="K49" s="1">
        <f t="shared" si="7"/>
        <v>335</v>
      </c>
      <c r="L49" s="1">
        <f t="shared" si="7"/>
        <v>335</v>
      </c>
      <c r="M49" s="1">
        <f t="shared" si="7"/>
        <v>335</v>
      </c>
      <c r="N49" s="1">
        <f t="shared" si="7"/>
        <v>335</v>
      </c>
      <c r="O49" s="1">
        <v>3600</v>
      </c>
      <c r="P49" s="15" t="s">
        <v>111</v>
      </c>
    </row>
    <row r="50" spans="1:17" ht="15.75" customHeight="1" x14ac:dyDescent="0.25">
      <c r="A50" t="s">
        <v>46</v>
      </c>
      <c r="B50" s="1">
        <f t="shared" si="6"/>
        <v>0</v>
      </c>
      <c r="C50" s="1">
        <v>0</v>
      </c>
      <c r="D50" s="1">
        <f>C50</f>
        <v>0</v>
      </c>
      <c r="E50" s="1">
        <f t="shared" ref="E50:N50" si="8">D50</f>
        <v>0</v>
      </c>
      <c r="F50" s="1">
        <f t="shared" si="8"/>
        <v>0</v>
      </c>
      <c r="G50" s="1">
        <f t="shared" si="8"/>
        <v>0</v>
      </c>
      <c r="H50" s="1">
        <f t="shared" si="8"/>
        <v>0</v>
      </c>
      <c r="I50" s="1">
        <f t="shared" si="8"/>
        <v>0</v>
      </c>
      <c r="J50" s="1">
        <f t="shared" si="8"/>
        <v>0</v>
      </c>
      <c r="K50" s="1">
        <f t="shared" si="8"/>
        <v>0</v>
      </c>
      <c r="L50" s="1">
        <f t="shared" si="8"/>
        <v>0</v>
      </c>
      <c r="M50" s="1">
        <f t="shared" si="8"/>
        <v>0</v>
      </c>
      <c r="N50" s="1">
        <f t="shared" si="8"/>
        <v>0</v>
      </c>
      <c r="O50" s="1">
        <v>9000</v>
      </c>
      <c r="P50" s="15" t="s">
        <v>113</v>
      </c>
    </row>
    <row r="51" spans="1:17" ht="15.75" customHeight="1" x14ac:dyDescent="0.25">
      <c r="A51" t="s">
        <v>48</v>
      </c>
      <c r="B51" s="1">
        <f t="shared" si="6"/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6000</v>
      </c>
      <c r="P51" s="15" t="s">
        <v>1</v>
      </c>
    </row>
    <row r="52" spans="1:17" ht="15.75" customHeight="1" x14ac:dyDescent="0.25">
      <c r="A52" t="s">
        <v>50</v>
      </c>
      <c r="B52" s="1">
        <f t="shared" si="6"/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17800.000000000004</v>
      </c>
      <c r="P52" s="15" t="s">
        <v>1</v>
      </c>
      <c r="Q52" t="s">
        <v>1</v>
      </c>
    </row>
    <row r="53" spans="1:17" ht="15.75" customHeight="1" x14ac:dyDescent="0.25">
      <c r="A53" t="s">
        <v>78</v>
      </c>
      <c r="B53" s="1">
        <f t="shared" si="6"/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/>
      <c r="P53" s="15" t="s">
        <v>1</v>
      </c>
    </row>
    <row r="54" spans="1:17" ht="15.75" customHeight="1" x14ac:dyDescent="0.25">
      <c r="A54" t="s">
        <v>52</v>
      </c>
      <c r="B54" s="1">
        <f t="shared" si="6"/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480</v>
      </c>
      <c r="P54" s="15" t="s">
        <v>1</v>
      </c>
    </row>
    <row r="55" spans="1:17" ht="15.75" customHeight="1" x14ac:dyDescent="0.25">
      <c r="A55" t="s">
        <v>54</v>
      </c>
      <c r="B55" s="1">
        <f t="shared" si="6"/>
        <v>0</v>
      </c>
      <c r="C55" s="1">
        <v>0</v>
      </c>
      <c r="D55" s="1">
        <f>C55</f>
        <v>0</v>
      </c>
      <c r="E55" s="1">
        <f t="shared" ref="E55:N56" si="9">D55</f>
        <v>0</v>
      </c>
      <c r="F55" s="1">
        <f t="shared" si="9"/>
        <v>0</v>
      </c>
      <c r="G55" s="1">
        <f t="shared" si="9"/>
        <v>0</v>
      </c>
      <c r="H55" s="1">
        <f t="shared" si="9"/>
        <v>0</v>
      </c>
      <c r="I55" s="1">
        <f t="shared" si="9"/>
        <v>0</v>
      </c>
      <c r="J55" s="1">
        <f t="shared" si="9"/>
        <v>0</v>
      </c>
      <c r="K55" s="1">
        <f t="shared" si="9"/>
        <v>0</v>
      </c>
      <c r="L55" s="1">
        <f t="shared" si="9"/>
        <v>0</v>
      </c>
      <c r="M55" s="1">
        <f t="shared" si="9"/>
        <v>0</v>
      </c>
      <c r="N55" s="1">
        <f t="shared" si="9"/>
        <v>0</v>
      </c>
      <c r="O55" s="1">
        <v>36000</v>
      </c>
    </row>
    <row r="56" spans="1:17" ht="15.75" customHeight="1" x14ac:dyDescent="0.25">
      <c r="A56" t="s">
        <v>100</v>
      </c>
      <c r="B56" s="1">
        <f>SUM(C56:N56)</f>
        <v>0</v>
      </c>
      <c r="C56" s="1">
        <v>0</v>
      </c>
      <c r="D56" s="1">
        <f>C56</f>
        <v>0</v>
      </c>
      <c r="E56" s="1">
        <f t="shared" si="9"/>
        <v>0</v>
      </c>
      <c r="F56" s="1">
        <f t="shared" si="9"/>
        <v>0</v>
      </c>
      <c r="G56" s="1">
        <f t="shared" si="9"/>
        <v>0</v>
      </c>
      <c r="H56" s="1">
        <f t="shared" si="9"/>
        <v>0</v>
      </c>
      <c r="I56" s="1">
        <f t="shared" si="9"/>
        <v>0</v>
      </c>
      <c r="J56" s="1">
        <f t="shared" si="9"/>
        <v>0</v>
      </c>
      <c r="K56" s="1">
        <f t="shared" si="9"/>
        <v>0</v>
      </c>
      <c r="L56" s="1">
        <f t="shared" si="9"/>
        <v>0</v>
      </c>
      <c r="M56" s="1">
        <f t="shared" si="9"/>
        <v>0</v>
      </c>
      <c r="N56" s="1">
        <f t="shared" si="9"/>
        <v>0</v>
      </c>
      <c r="O56" s="1"/>
      <c r="P56" s="15" t="s">
        <v>112</v>
      </c>
    </row>
    <row r="57" spans="1:17" ht="15.75" customHeight="1" x14ac:dyDescent="0.25">
      <c r="A57" t="s">
        <v>56</v>
      </c>
      <c r="B57" s="1">
        <f t="shared" si="6"/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3780</v>
      </c>
      <c r="P57" s="15" t="s">
        <v>1</v>
      </c>
    </row>
    <row r="58" spans="1:17" ht="15.75" customHeight="1" x14ac:dyDescent="0.25">
      <c r="A58" t="s">
        <v>58</v>
      </c>
      <c r="B58" s="1">
        <f t="shared" si="6"/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5" t="s">
        <v>1</v>
      </c>
    </row>
    <row r="59" spans="1:17" ht="15.75" customHeight="1" x14ac:dyDescent="0.25">
      <c r="A59" t="s">
        <v>60</v>
      </c>
      <c r="B59" s="4">
        <f t="shared" si="6"/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-280131</v>
      </c>
    </row>
    <row r="60" spans="1:17" ht="15.75" customHeight="1" x14ac:dyDescent="0.25">
      <c r="A60" t="s">
        <v>31</v>
      </c>
      <c r="B60" s="1">
        <f>SUM(B43:B59)</f>
        <v>4020</v>
      </c>
      <c r="C60" s="1">
        <f>SUM(C43:C59)</f>
        <v>335</v>
      </c>
      <c r="D60" s="1">
        <f t="shared" ref="D60:N60" si="10">SUM(D43:D59)</f>
        <v>335</v>
      </c>
      <c r="E60" s="1">
        <f t="shared" si="10"/>
        <v>335</v>
      </c>
      <c r="F60" s="1">
        <f t="shared" si="10"/>
        <v>335</v>
      </c>
      <c r="G60" s="1">
        <f t="shared" si="10"/>
        <v>335</v>
      </c>
      <c r="H60" s="1">
        <f t="shared" si="10"/>
        <v>335</v>
      </c>
      <c r="I60" s="1">
        <f t="shared" si="10"/>
        <v>335</v>
      </c>
      <c r="J60" s="1">
        <f t="shared" si="10"/>
        <v>335</v>
      </c>
      <c r="K60" s="1">
        <f t="shared" si="10"/>
        <v>335</v>
      </c>
      <c r="L60" s="1">
        <f t="shared" si="10"/>
        <v>335</v>
      </c>
      <c r="M60" s="1">
        <f t="shared" si="10"/>
        <v>335</v>
      </c>
      <c r="N60" s="1">
        <f t="shared" si="10"/>
        <v>335</v>
      </c>
      <c r="O60" s="1">
        <v>-144971</v>
      </c>
    </row>
    <row r="61" spans="1:17" ht="15.7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>
        <v>0</v>
      </c>
    </row>
    <row r="62" spans="1:17" ht="15.75" customHeight="1" x14ac:dyDescent="0.25">
      <c r="A62" t="s">
        <v>102</v>
      </c>
      <c r="B62" s="4">
        <f>SUM(C62:N62)</f>
        <v>133385.04</v>
      </c>
      <c r="C62" s="4">
        <f t="shared" ref="C62:N62" si="11">C40+C60</f>
        <v>11115.42</v>
      </c>
      <c r="D62" s="4">
        <f t="shared" si="11"/>
        <v>11115.42</v>
      </c>
      <c r="E62" s="4">
        <f t="shared" si="11"/>
        <v>11115.42</v>
      </c>
      <c r="F62" s="4">
        <f t="shared" si="11"/>
        <v>11115.42</v>
      </c>
      <c r="G62" s="4">
        <f t="shared" si="11"/>
        <v>11115.42</v>
      </c>
      <c r="H62" s="4">
        <f t="shared" si="11"/>
        <v>11115.42</v>
      </c>
      <c r="I62" s="4">
        <f t="shared" si="11"/>
        <v>11115.42</v>
      </c>
      <c r="J62" s="4">
        <f t="shared" si="11"/>
        <v>11115.42</v>
      </c>
      <c r="K62" s="4">
        <f t="shared" si="11"/>
        <v>11115.42</v>
      </c>
      <c r="L62" s="4">
        <f t="shared" si="11"/>
        <v>11115.42</v>
      </c>
      <c r="M62" s="4">
        <f t="shared" si="11"/>
        <v>11115.42</v>
      </c>
      <c r="N62" s="4">
        <f t="shared" si="11"/>
        <v>11115.42</v>
      </c>
      <c r="O62" s="1"/>
    </row>
    <row r="63" spans="1:17" ht="15.7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7" ht="15.75" customHeight="1" x14ac:dyDescent="0.25">
      <c r="A64" t="s">
        <v>62</v>
      </c>
      <c r="B64" s="1">
        <f t="shared" ref="B64:N64" si="12">B40+B60</f>
        <v>133385.03999999998</v>
      </c>
      <c r="C64" s="1">
        <f t="shared" si="12"/>
        <v>11115.42</v>
      </c>
      <c r="D64" s="1">
        <f t="shared" si="12"/>
        <v>11115.42</v>
      </c>
      <c r="E64" s="1">
        <f t="shared" si="12"/>
        <v>11115.42</v>
      </c>
      <c r="F64" s="1">
        <f t="shared" si="12"/>
        <v>11115.42</v>
      </c>
      <c r="G64" s="1">
        <f t="shared" si="12"/>
        <v>11115.42</v>
      </c>
      <c r="H64" s="1">
        <f t="shared" si="12"/>
        <v>11115.42</v>
      </c>
      <c r="I64" s="1">
        <f t="shared" si="12"/>
        <v>11115.42</v>
      </c>
      <c r="J64" s="1">
        <f t="shared" si="12"/>
        <v>11115.42</v>
      </c>
      <c r="K64" s="1">
        <f t="shared" si="12"/>
        <v>11115.42</v>
      </c>
      <c r="L64" s="1">
        <f t="shared" si="12"/>
        <v>11115.42</v>
      </c>
      <c r="M64" s="1">
        <f t="shared" si="12"/>
        <v>11115.42</v>
      </c>
      <c r="N64" s="1">
        <f t="shared" si="12"/>
        <v>11115.42</v>
      </c>
      <c r="O64" s="1">
        <f>SUM(C64:N64)</f>
        <v>133385.04</v>
      </c>
    </row>
    <row r="65" spans="1:15" ht="15.75" customHeight="1" x14ac:dyDescent="0.25">
      <c r="A65" t="s">
        <v>63</v>
      </c>
      <c r="B65" s="1"/>
      <c r="C65" s="1">
        <f>C64</f>
        <v>11115.42</v>
      </c>
      <c r="D65" s="1">
        <f t="shared" ref="D65:N65" si="13">D64</f>
        <v>11115.42</v>
      </c>
      <c r="E65" s="1">
        <f t="shared" si="13"/>
        <v>11115.42</v>
      </c>
      <c r="F65" s="1">
        <f t="shared" si="13"/>
        <v>11115.42</v>
      </c>
      <c r="G65" s="1">
        <f t="shared" si="13"/>
        <v>11115.42</v>
      </c>
      <c r="H65" s="1">
        <f t="shared" si="13"/>
        <v>11115.42</v>
      </c>
      <c r="I65" s="1">
        <f t="shared" si="13"/>
        <v>11115.42</v>
      </c>
      <c r="J65" s="1">
        <f t="shared" si="13"/>
        <v>11115.42</v>
      </c>
      <c r="K65" s="1">
        <f t="shared" si="13"/>
        <v>11115.42</v>
      </c>
      <c r="L65" s="1">
        <f t="shared" si="13"/>
        <v>11115.42</v>
      </c>
      <c r="M65" s="1">
        <f t="shared" si="13"/>
        <v>11115.42</v>
      </c>
      <c r="N65" s="1">
        <f t="shared" si="13"/>
        <v>11115.42</v>
      </c>
      <c r="O65" s="1" t="s">
        <v>1</v>
      </c>
    </row>
    <row r="66" spans="1:15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5" x14ac:dyDescent="0.2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5" ht="15.75" thickBot="1" x14ac:dyDescent="0.3">
      <c r="A68" t="s">
        <v>101</v>
      </c>
      <c r="B68" s="22">
        <f>SUM(C68:N68)</f>
        <v>-133385.04</v>
      </c>
      <c r="C68" s="22">
        <f t="shared" ref="C68:N68" si="14">C32-C62</f>
        <v>-11115.42</v>
      </c>
      <c r="D68" s="22">
        <f t="shared" si="14"/>
        <v>-11115.42</v>
      </c>
      <c r="E68" s="22">
        <f t="shared" si="14"/>
        <v>-11115.42</v>
      </c>
      <c r="F68" s="22">
        <f t="shared" si="14"/>
        <v>-11115.42</v>
      </c>
      <c r="G68" s="22">
        <f t="shared" si="14"/>
        <v>-11115.42</v>
      </c>
      <c r="H68" s="22">
        <f t="shared" si="14"/>
        <v>-11115.42</v>
      </c>
      <c r="I68" s="22">
        <f t="shared" si="14"/>
        <v>-11115.42</v>
      </c>
      <c r="J68" s="22">
        <f t="shared" si="14"/>
        <v>-11115.42</v>
      </c>
      <c r="K68" s="22">
        <f t="shared" si="14"/>
        <v>-11115.42</v>
      </c>
      <c r="L68" s="22">
        <f t="shared" si="14"/>
        <v>-11115.42</v>
      </c>
      <c r="M68" s="22">
        <f t="shared" si="14"/>
        <v>-11115.42</v>
      </c>
      <c r="N68" s="22">
        <f t="shared" si="14"/>
        <v>-11115.42</v>
      </c>
    </row>
    <row r="69" spans="1:15" ht="15.75" thickTop="1" x14ac:dyDescent="0.25"/>
  </sheetData>
  <pageMargins left="0.7" right="0.7" top="0.75" bottom="0.75" header="0.3" footer="0.3"/>
  <pageSetup scale="53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69"/>
  <sheetViews>
    <sheetView workbookViewId="0">
      <pane xSplit="1" ySplit="17" topLeftCell="B20" activePane="bottomRight" state="frozen"/>
      <selection activeCell="A27" sqref="A27"/>
      <selection pane="topRight" activeCell="A27" sqref="A27"/>
      <selection pane="bottomLeft" activeCell="A27" sqref="A27"/>
      <selection pane="bottomRight" activeCell="A27" sqref="A27"/>
    </sheetView>
  </sheetViews>
  <sheetFormatPr defaultRowHeight="15" x14ac:dyDescent="0.25"/>
  <cols>
    <col min="1" max="1" width="26.42578125" customWidth="1"/>
    <col min="2" max="2" width="10.85546875" bestFit="1" customWidth="1"/>
    <col min="3" max="3" width="10" bestFit="1" customWidth="1"/>
    <col min="4" max="14" width="10.140625" bestFit="1" customWidth="1"/>
    <col min="15" max="15" width="11.5703125" hidden="1" customWidth="1"/>
    <col min="16" max="16" width="45.7109375" style="3" customWidth="1"/>
    <col min="17" max="17" width="10" style="17" bestFit="1" customWidth="1"/>
    <col min="18" max="19" width="10.5703125" style="17" bestFit="1" customWidth="1"/>
    <col min="20" max="20" width="11.5703125" style="17" bestFit="1" customWidth="1"/>
  </cols>
  <sheetData>
    <row r="2" spans="1:16" ht="15.75" x14ac:dyDescent="0.25">
      <c r="A2" s="8" t="s">
        <v>0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/>
    </row>
    <row r="3" spans="1:16" ht="15.75" x14ac:dyDescent="0.25">
      <c r="A3" s="8" t="str">
        <f>'Budget Summary'!A3</f>
        <v>2009 Operating Budget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6" ht="15.75" x14ac:dyDescent="0.25">
      <c r="A4" s="14" t="s">
        <v>86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</row>
    <row r="5" spans="1:16" ht="15.75" x14ac:dyDescent="0.25">
      <c r="A5" s="12"/>
      <c r="B5" s="6" t="s">
        <v>2</v>
      </c>
      <c r="C5" s="7">
        <f>'Budget Summary'!C5</f>
        <v>39814</v>
      </c>
      <c r="D5" s="7">
        <f>C5+31</f>
        <v>39845</v>
      </c>
      <c r="E5" s="7">
        <f t="shared" ref="E5:N5" si="0">D5+31</f>
        <v>39876</v>
      </c>
      <c r="F5" s="7">
        <f t="shared" si="0"/>
        <v>39907</v>
      </c>
      <c r="G5" s="7">
        <f t="shared" si="0"/>
        <v>39938</v>
      </c>
      <c r="H5" s="7">
        <f t="shared" si="0"/>
        <v>39969</v>
      </c>
      <c r="I5" s="7">
        <f t="shared" si="0"/>
        <v>40000</v>
      </c>
      <c r="J5" s="7">
        <f t="shared" si="0"/>
        <v>40031</v>
      </c>
      <c r="K5" s="7">
        <f t="shared" si="0"/>
        <v>40062</v>
      </c>
      <c r="L5" s="7">
        <f t="shared" si="0"/>
        <v>40093</v>
      </c>
      <c r="M5" s="7">
        <f t="shared" si="0"/>
        <v>40124</v>
      </c>
      <c r="N5" s="7">
        <f t="shared" si="0"/>
        <v>40155</v>
      </c>
      <c r="O5" s="13" t="s">
        <v>62</v>
      </c>
      <c r="P5" s="2" t="s">
        <v>3</v>
      </c>
    </row>
    <row r="6" spans="1:16" hidden="1" x14ac:dyDescent="0.25">
      <c r="A6" t="s">
        <v>80</v>
      </c>
    </row>
    <row r="7" spans="1:16" hidden="1" x14ac:dyDescent="0.25">
      <c r="A7" t="s">
        <v>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136950</v>
      </c>
    </row>
    <row r="8" spans="1:16" hidden="1" x14ac:dyDescent="0.25">
      <c r="A8" t="s">
        <v>5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126000</v>
      </c>
    </row>
    <row r="9" spans="1:16" hidden="1" x14ac:dyDescent="0.25">
      <c r="A9" t="s">
        <v>6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126000</v>
      </c>
    </row>
    <row r="10" spans="1:16" hidden="1" x14ac:dyDescent="0.25">
      <c r="A10" t="s">
        <v>7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</row>
    <row r="11" spans="1:16" hidden="1" x14ac:dyDescent="0.25">
      <c r="A11" t="s">
        <v>8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40000</v>
      </c>
    </row>
    <row r="12" spans="1:16" hidden="1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</row>
    <row r="13" spans="1:16" hidden="1" x14ac:dyDescent="0.25">
      <c r="A13" t="s">
        <v>10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55000.000000000007</v>
      </c>
    </row>
    <row r="14" spans="1:16" hidden="1" x14ac:dyDescent="0.25">
      <c r="A14" t="s">
        <v>11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6" hidden="1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6" hidden="1" x14ac:dyDescent="0.25">
      <c r="A16" t="s">
        <v>13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40000</v>
      </c>
    </row>
    <row r="17" spans="1:17" hidden="1" x14ac:dyDescent="0.25">
      <c r="A17" t="s">
        <v>14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</row>
    <row r="18" spans="1:17" ht="15.75" customHeight="1" x14ac:dyDescent="0.25">
      <c r="A18" t="s">
        <v>93</v>
      </c>
      <c r="O18" t="s">
        <v>1</v>
      </c>
      <c r="Q18" s="17" t="s">
        <v>91</v>
      </c>
    </row>
    <row r="19" spans="1:17" ht="15.75" customHeight="1" x14ac:dyDescent="0.25">
      <c r="A19" t="s">
        <v>98</v>
      </c>
      <c r="B19" s="1">
        <f t="shared" ref="B19:B26" si="1">SUM(C19:N19)</f>
        <v>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7" ht="15.75" customHeight="1" x14ac:dyDescent="0.25">
      <c r="A20" t="s">
        <v>104</v>
      </c>
      <c r="B20" s="1">
        <f t="shared" si="1"/>
        <v>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7" ht="15.75" customHeight="1" x14ac:dyDescent="0.25">
      <c r="A21" t="s">
        <v>116</v>
      </c>
      <c r="B21" s="1">
        <f t="shared" si="1"/>
        <v>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7" ht="15.75" customHeight="1" x14ac:dyDescent="0.25">
      <c r="A22" t="s">
        <v>86</v>
      </c>
      <c r="B22" s="1">
        <f t="shared" si="1"/>
        <v>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7" ht="15.75" customHeight="1" x14ac:dyDescent="0.25">
      <c r="A23" t="s">
        <v>87</v>
      </c>
      <c r="B23" s="1">
        <f t="shared" si="1"/>
        <v>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7" ht="15.75" customHeight="1" x14ac:dyDescent="0.25">
      <c r="A24" t="s">
        <v>88</v>
      </c>
      <c r="B24" s="1">
        <f t="shared" si="1"/>
        <v>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7" ht="15.75" customHeight="1" x14ac:dyDescent="0.25">
      <c r="A25" t="s">
        <v>105</v>
      </c>
      <c r="B25" s="1">
        <f t="shared" si="1"/>
        <v>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7" ht="15.75" customHeight="1" x14ac:dyDescent="0.25">
      <c r="A26" t="s">
        <v>106</v>
      </c>
      <c r="B26" s="1">
        <f t="shared" si="1"/>
        <v>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7" ht="15.75" customHeight="1" x14ac:dyDescent="0.25">
      <c r="A27" t="s">
        <v>107</v>
      </c>
      <c r="B27" s="4">
        <f>SUM(C23:N23)</f>
        <v>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7" ht="15.75" customHeight="1" x14ac:dyDescent="0.25">
      <c r="A28" t="s">
        <v>94</v>
      </c>
      <c r="B28" s="19">
        <f>SUM(C28:N28)</f>
        <v>0</v>
      </c>
      <c r="C28" s="19">
        <f>SUM(C19:C27)</f>
        <v>0</v>
      </c>
      <c r="D28" s="19">
        <f t="shared" ref="D28:N28" si="2">SUM(D19:D27)</f>
        <v>0</v>
      </c>
      <c r="E28" s="19">
        <f t="shared" si="2"/>
        <v>0</v>
      </c>
      <c r="F28" s="19">
        <f t="shared" si="2"/>
        <v>0</v>
      </c>
      <c r="G28" s="19">
        <f t="shared" si="2"/>
        <v>0</v>
      </c>
      <c r="H28" s="19">
        <f t="shared" si="2"/>
        <v>0</v>
      </c>
      <c r="I28" s="19">
        <f t="shared" si="2"/>
        <v>0</v>
      </c>
      <c r="J28" s="19">
        <f t="shared" si="2"/>
        <v>0</v>
      </c>
      <c r="K28" s="19">
        <f t="shared" si="2"/>
        <v>0</v>
      </c>
      <c r="L28" s="19">
        <f t="shared" si="2"/>
        <v>0</v>
      </c>
      <c r="M28" s="19">
        <f t="shared" si="2"/>
        <v>0</v>
      </c>
      <c r="N28" s="19">
        <f t="shared" si="2"/>
        <v>0</v>
      </c>
    </row>
    <row r="29" spans="1:17" ht="15.75" customHeight="1" x14ac:dyDescent="0.2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7" ht="15.75" customHeight="1" x14ac:dyDescent="0.25">
      <c r="A30" t="s">
        <v>96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7" ht="15.75" customHeight="1" x14ac:dyDescent="0.25">
      <c r="A31" t="s">
        <v>95</v>
      </c>
      <c r="B31" s="4">
        <f>SUM(C31:N31)</f>
        <v>19176</v>
      </c>
      <c r="C31" s="4"/>
      <c r="D31" s="4"/>
      <c r="E31" s="4"/>
      <c r="F31" s="4"/>
      <c r="G31" s="4">
        <f>13176+6000</f>
        <v>19176</v>
      </c>
      <c r="H31" s="4"/>
      <c r="I31" s="4"/>
      <c r="J31" s="4"/>
      <c r="K31" s="4"/>
      <c r="L31" s="4"/>
      <c r="M31" s="4"/>
      <c r="N31" s="4"/>
      <c r="P31" s="3" t="s">
        <v>122</v>
      </c>
    </row>
    <row r="32" spans="1:17" ht="15.75" customHeight="1" x14ac:dyDescent="0.25">
      <c r="A32" t="s">
        <v>97</v>
      </c>
      <c r="B32" s="19">
        <f>B28-B31</f>
        <v>-19176</v>
      </c>
      <c r="C32" s="19">
        <f t="shared" ref="C32:N32" si="3">C28-C31</f>
        <v>0</v>
      </c>
      <c r="D32" s="19">
        <f t="shared" si="3"/>
        <v>0</v>
      </c>
      <c r="E32" s="19">
        <f t="shared" si="3"/>
        <v>0</v>
      </c>
      <c r="F32" s="19">
        <f t="shared" si="3"/>
        <v>0</v>
      </c>
      <c r="G32" s="19">
        <f t="shared" si="3"/>
        <v>-19176</v>
      </c>
      <c r="H32" s="19">
        <f t="shared" si="3"/>
        <v>0</v>
      </c>
      <c r="I32" s="19">
        <f t="shared" si="3"/>
        <v>0</v>
      </c>
      <c r="J32" s="19">
        <f t="shared" si="3"/>
        <v>0</v>
      </c>
      <c r="K32" s="19">
        <f t="shared" si="3"/>
        <v>0</v>
      </c>
      <c r="L32" s="19">
        <f t="shared" si="3"/>
        <v>0</v>
      </c>
      <c r="M32" s="19">
        <f t="shared" si="3"/>
        <v>0</v>
      </c>
      <c r="N32" s="19">
        <f t="shared" si="3"/>
        <v>0</v>
      </c>
    </row>
    <row r="33" spans="1:20" ht="15.75" customHeight="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20" ht="15.75" customHeight="1" x14ac:dyDescent="0.25">
      <c r="A34" t="s">
        <v>92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20" ht="15.75" customHeight="1" x14ac:dyDescent="0.25">
      <c r="A35" t="s">
        <v>21</v>
      </c>
      <c r="B35" s="1">
        <f>SUM(C35:N35)</f>
        <v>38000</v>
      </c>
      <c r="C35" s="1">
        <f>38000/12</f>
        <v>3166.6666666666665</v>
      </c>
      <c r="D35" s="1">
        <f>C35</f>
        <v>3166.6666666666665</v>
      </c>
      <c r="E35" s="1">
        <f t="shared" ref="E35:N35" si="4">D35</f>
        <v>3166.6666666666665</v>
      </c>
      <c r="F35" s="1">
        <f t="shared" si="4"/>
        <v>3166.6666666666665</v>
      </c>
      <c r="G35" s="1">
        <f t="shared" si="4"/>
        <v>3166.6666666666665</v>
      </c>
      <c r="H35" s="1">
        <f t="shared" si="4"/>
        <v>3166.6666666666665</v>
      </c>
      <c r="I35" s="1">
        <f t="shared" si="4"/>
        <v>3166.6666666666665</v>
      </c>
      <c r="J35" s="1">
        <f t="shared" si="4"/>
        <v>3166.6666666666665</v>
      </c>
      <c r="K35" s="1">
        <f t="shared" si="4"/>
        <v>3166.6666666666665</v>
      </c>
      <c r="L35" s="1">
        <f t="shared" si="4"/>
        <v>3166.6666666666665</v>
      </c>
      <c r="M35" s="1">
        <f t="shared" si="4"/>
        <v>3166.6666666666665</v>
      </c>
      <c r="N35" s="1">
        <f t="shared" si="4"/>
        <v>3166.6666666666665</v>
      </c>
      <c r="O35" s="1">
        <v>523950.00000000006</v>
      </c>
      <c r="P35" s="3" t="s">
        <v>1</v>
      </c>
      <c r="Q35" s="17" t="s">
        <v>1</v>
      </c>
      <c r="R35" s="17" t="s">
        <v>1</v>
      </c>
      <c r="S35" s="17" t="s">
        <v>1</v>
      </c>
      <c r="T35" s="17" t="s">
        <v>1</v>
      </c>
    </row>
    <row r="36" spans="1:20" ht="15.75" customHeight="1" x14ac:dyDescent="0.25">
      <c r="A36" t="s">
        <v>23</v>
      </c>
      <c r="B36" s="1">
        <f>SUM(C36:N36)</f>
        <v>9500</v>
      </c>
      <c r="C36" s="1">
        <f>9500/12</f>
        <v>791.66666666666663</v>
      </c>
      <c r="D36" s="1">
        <f>C36</f>
        <v>791.66666666666663</v>
      </c>
      <c r="E36" s="1">
        <f t="shared" ref="E36:N36" si="5">D36</f>
        <v>791.66666666666663</v>
      </c>
      <c r="F36" s="1">
        <f t="shared" si="5"/>
        <v>791.66666666666663</v>
      </c>
      <c r="G36" s="1">
        <f t="shared" si="5"/>
        <v>791.66666666666663</v>
      </c>
      <c r="H36" s="1">
        <f t="shared" si="5"/>
        <v>791.66666666666663</v>
      </c>
      <c r="I36" s="1">
        <f t="shared" si="5"/>
        <v>791.66666666666663</v>
      </c>
      <c r="J36" s="1">
        <f t="shared" si="5"/>
        <v>791.66666666666663</v>
      </c>
      <c r="K36" s="1">
        <f t="shared" si="5"/>
        <v>791.66666666666663</v>
      </c>
      <c r="L36" s="1">
        <f t="shared" si="5"/>
        <v>791.66666666666663</v>
      </c>
      <c r="M36" s="1">
        <f t="shared" si="5"/>
        <v>791.66666666666663</v>
      </c>
      <c r="N36" s="1">
        <f t="shared" si="5"/>
        <v>791.66666666666663</v>
      </c>
      <c r="O36" s="1">
        <v>130987.5</v>
      </c>
      <c r="P36" s="3" t="s">
        <v>1</v>
      </c>
      <c r="Q36" s="17" t="s">
        <v>1</v>
      </c>
      <c r="R36" s="17" t="s">
        <v>1</v>
      </c>
      <c r="S36" s="17" t="s">
        <v>1</v>
      </c>
      <c r="T36" s="17" t="s">
        <v>1</v>
      </c>
    </row>
    <row r="37" spans="1:20" ht="15.75" customHeight="1" x14ac:dyDescent="0.25">
      <c r="A37" t="s">
        <v>25</v>
      </c>
      <c r="B37" s="1">
        <f>SUM(C37:N37)</f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9000</v>
      </c>
      <c r="P37" s="3" t="s">
        <v>1</v>
      </c>
      <c r="Q37" s="17" t="s">
        <v>1</v>
      </c>
      <c r="R37" s="17" t="s">
        <v>1</v>
      </c>
      <c r="S37" s="17" t="s">
        <v>1</v>
      </c>
      <c r="T37" s="18" t="s">
        <v>1</v>
      </c>
    </row>
    <row r="38" spans="1:20" ht="15.75" customHeight="1" x14ac:dyDescent="0.25">
      <c r="A38" t="s">
        <v>27</v>
      </c>
      <c r="B38" s="1">
        <f>SUM(C38:N38)</f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52395</v>
      </c>
      <c r="P38" s="3" t="s">
        <v>1</v>
      </c>
      <c r="T38" s="23" t="s">
        <v>1</v>
      </c>
    </row>
    <row r="39" spans="1:20" ht="15.75" customHeight="1" x14ac:dyDescent="0.25">
      <c r="A39" t="s">
        <v>29</v>
      </c>
      <c r="B39" s="4">
        <f>SUM(C39:N39)</f>
        <v>30200</v>
      </c>
      <c r="C39" s="4">
        <v>0</v>
      </c>
      <c r="D39" s="4">
        <v>0</v>
      </c>
      <c r="E39" s="4">
        <v>0</v>
      </c>
      <c r="F39" s="4">
        <f>6200</f>
        <v>6200</v>
      </c>
      <c r="G39" s="4">
        <v>3000</v>
      </c>
      <c r="H39" s="4">
        <f t="shared" ref="H39:M39" si="6">G39</f>
        <v>3000</v>
      </c>
      <c r="I39" s="4">
        <f t="shared" si="6"/>
        <v>3000</v>
      </c>
      <c r="J39" s="4">
        <f t="shared" si="6"/>
        <v>3000</v>
      </c>
      <c r="K39" s="4">
        <f t="shared" si="6"/>
        <v>3000</v>
      </c>
      <c r="L39" s="4">
        <f t="shared" si="6"/>
        <v>3000</v>
      </c>
      <c r="M39" s="4">
        <f t="shared" si="6"/>
        <v>3000</v>
      </c>
      <c r="N39" s="4">
        <f>M39</f>
        <v>3000</v>
      </c>
      <c r="O39" s="4">
        <v>150000</v>
      </c>
      <c r="P39" s="3" t="s">
        <v>121</v>
      </c>
      <c r="T39" s="23"/>
    </row>
    <row r="40" spans="1:20" ht="15.75" customHeight="1" x14ac:dyDescent="0.25">
      <c r="A40" t="s">
        <v>31</v>
      </c>
      <c r="B40" s="1">
        <f>SUM(B35:B39)</f>
        <v>77700</v>
      </c>
      <c r="C40" s="1">
        <f>SUM(C35:C39)</f>
        <v>3958.333333333333</v>
      </c>
      <c r="D40" s="1">
        <f t="shared" ref="D40:N40" si="7">SUM(D35:D39)</f>
        <v>3958.333333333333</v>
      </c>
      <c r="E40" s="1">
        <f t="shared" si="7"/>
        <v>3958.333333333333</v>
      </c>
      <c r="F40" s="1">
        <f t="shared" si="7"/>
        <v>10158.333333333332</v>
      </c>
      <c r="G40" s="1">
        <f t="shared" si="7"/>
        <v>6958.333333333333</v>
      </c>
      <c r="H40" s="1">
        <f t="shared" si="7"/>
        <v>6958.333333333333</v>
      </c>
      <c r="I40" s="1">
        <f t="shared" si="7"/>
        <v>6958.333333333333</v>
      </c>
      <c r="J40" s="1">
        <f t="shared" si="7"/>
        <v>6958.333333333333</v>
      </c>
      <c r="K40" s="1">
        <f t="shared" si="7"/>
        <v>6958.333333333333</v>
      </c>
      <c r="L40" s="1">
        <f t="shared" si="7"/>
        <v>6958.333333333333</v>
      </c>
      <c r="M40" s="1">
        <f t="shared" si="7"/>
        <v>6958.333333333333</v>
      </c>
      <c r="N40" s="1">
        <f t="shared" si="7"/>
        <v>6958.333333333333</v>
      </c>
      <c r="O40" s="1">
        <v>866332.5</v>
      </c>
      <c r="P40" s="3" t="s">
        <v>1</v>
      </c>
      <c r="Q40" s="17" t="s">
        <v>1</v>
      </c>
      <c r="S40" s="17" t="s">
        <v>1</v>
      </c>
      <c r="T40" s="23" t="s">
        <v>1</v>
      </c>
    </row>
    <row r="41" spans="1:20" ht="15.7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>
        <v>0</v>
      </c>
      <c r="P41" s="3" t="s">
        <v>1</v>
      </c>
      <c r="Q41" s="17" t="s">
        <v>1</v>
      </c>
      <c r="S41" s="17" t="s">
        <v>1</v>
      </c>
      <c r="T41" s="23" t="s">
        <v>1</v>
      </c>
    </row>
    <row r="42" spans="1:20" ht="15.75" customHeight="1" x14ac:dyDescent="0.25">
      <c r="A42" t="s">
        <v>32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>
        <v>0</v>
      </c>
      <c r="P42" s="3" t="s">
        <v>1</v>
      </c>
      <c r="Q42" s="17" t="s">
        <v>1</v>
      </c>
      <c r="S42" s="17" t="s">
        <v>1</v>
      </c>
      <c r="T42" s="23" t="s">
        <v>1</v>
      </c>
    </row>
    <row r="43" spans="1:20" ht="15.75" customHeight="1" x14ac:dyDescent="0.25">
      <c r="A43" t="s">
        <v>33</v>
      </c>
      <c r="B43" s="1">
        <f t="shared" ref="B43:B59" si="8">SUM(C43:N43)</f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9000</v>
      </c>
      <c r="P43" s="3" t="s">
        <v>1</v>
      </c>
      <c r="Q43" s="17" t="s">
        <v>1</v>
      </c>
      <c r="T43" s="17" t="s">
        <v>1</v>
      </c>
    </row>
    <row r="44" spans="1:20" ht="15.75" customHeight="1" x14ac:dyDescent="0.25">
      <c r="A44" t="s">
        <v>35</v>
      </c>
      <c r="B44" s="1">
        <f t="shared" si="8"/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4800</v>
      </c>
      <c r="P44" s="3" t="s">
        <v>1</v>
      </c>
    </row>
    <row r="45" spans="1:20" ht="15.75" customHeight="1" x14ac:dyDescent="0.25">
      <c r="A45" t="s">
        <v>37</v>
      </c>
      <c r="B45" s="1">
        <f t="shared" si="8"/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7500</v>
      </c>
      <c r="P45" s="3" t="s">
        <v>1</v>
      </c>
    </row>
    <row r="46" spans="1:20" ht="15.75" customHeight="1" x14ac:dyDescent="0.25">
      <c r="A46" t="s">
        <v>39</v>
      </c>
      <c r="B46" s="1">
        <f t="shared" si="8"/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5400</v>
      </c>
      <c r="P46" s="3" t="s">
        <v>1</v>
      </c>
      <c r="Q46" s="17" t="s">
        <v>1</v>
      </c>
    </row>
    <row r="47" spans="1:20" ht="15.75" customHeight="1" x14ac:dyDescent="0.25">
      <c r="A47" t="s">
        <v>41</v>
      </c>
      <c r="B47" s="1">
        <f t="shared" si="8"/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600</v>
      </c>
      <c r="P47" s="3" t="s">
        <v>1</v>
      </c>
    </row>
    <row r="48" spans="1:20" ht="15.75" customHeight="1" x14ac:dyDescent="0.25">
      <c r="A48" t="s">
        <v>81</v>
      </c>
      <c r="B48" s="1">
        <f t="shared" si="8"/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7200</v>
      </c>
      <c r="P48" s="3" t="s">
        <v>1</v>
      </c>
    </row>
    <row r="49" spans="1:17" ht="15.75" customHeight="1" x14ac:dyDescent="0.25">
      <c r="A49" t="s">
        <v>45</v>
      </c>
      <c r="B49" s="1">
        <f t="shared" si="8"/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3600</v>
      </c>
      <c r="P49" s="3" t="s">
        <v>1</v>
      </c>
    </row>
    <row r="50" spans="1:17" ht="15.75" customHeight="1" x14ac:dyDescent="0.25">
      <c r="A50" t="s">
        <v>46</v>
      </c>
      <c r="B50" s="1">
        <f t="shared" si="8"/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9000</v>
      </c>
      <c r="P50" s="3" t="s">
        <v>1</v>
      </c>
    </row>
    <row r="51" spans="1:17" ht="15.75" customHeight="1" x14ac:dyDescent="0.25">
      <c r="A51" t="s">
        <v>48</v>
      </c>
      <c r="B51" s="1">
        <f t="shared" si="8"/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6000</v>
      </c>
      <c r="P51" s="3" t="s">
        <v>1</v>
      </c>
    </row>
    <row r="52" spans="1:17" ht="15.75" customHeight="1" x14ac:dyDescent="0.25">
      <c r="A52" t="s">
        <v>50</v>
      </c>
      <c r="B52" s="1">
        <f t="shared" si="8"/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17800.000000000004</v>
      </c>
      <c r="P52" s="3" t="s">
        <v>1</v>
      </c>
      <c r="Q52" s="17" t="s">
        <v>1</v>
      </c>
    </row>
    <row r="53" spans="1:17" ht="15.75" customHeight="1" x14ac:dyDescent="0.25">
      <c r="A53" t="s">
        <v>78</v>
      </c>
      <c r="B53" s="1">
        <f t="shared" si="8"/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/>
      <c r="P53" s="3" t="s">
        <v>1</v>
      </c>
    </row>
    <row r="54" spans="1:17" ht="15.75" customHeight="1" x14ac:dyDescent="0.25">
      <c r="A54" t="s">
        <v>52</v>
      </c>
      <c r="B54" s="1">
        <f t="shared" si="8"/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480</v>
      </c>
      <c r="P54" s="3" t="s">
        <v>1</v>
      </c>
    </row>
    <row r="55" spans="1:17" ht="15.75" customHeight="1" x14ac:dyDescent="0.25">
      <c r="A55" t="s">
        <v>54</v>
      </c>
      <c r="B55" s="1">
        <f t="shared" si="8"/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36000</v>
      </c>
      <c r="P55" s="3" t="s">
        <v>1</v>
      </c>
    </row>
    <row r="56" spans="1:17" ht="15.75" customHeight="1" x14ac:dyDescent="0.25">
      <c r="A56" t="s">
        <v>100</v>
      </c>
      <c r="B56" s="1">
        <f>SUM(C56:N56)</f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/>
    </row>
    <row r="57" spans="1:17" ht="15.75" customHeight="1" x14ac:dyDescent="0.25">
      <c r="A57" t="s">
        <v>56</v>
      </c>
      <c r="B57" s="1">
        <f t="shared" si="8"/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3780</v>
      </c>
      <c r="P57" s="3" t="s">
        <v>1</v>
      </c>
    </row>
    <row r="58" spans="1:17" ht="15.75" customHeight="1" x14ac:dyDescent="0.25">
      <c r="A58" t="s">
        <v>58</v>
      </c>
      <c r="B58" s="1">
        <f t="shared" si="8"/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3" t="s">
        <v>1</v>
      </c>
    </row>
    <row r="59" spans="1:17" ht="15.75" customHeight="1" x14ac:dyDescent="0.25">
      <c r="A59" t="s">
        <v>60</v>
      </c>
      <c r="B59" s="4">
        <f t="shared" si="8"/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-280131</v>
      </c>
    </row>
    <row r="60" spans="1:17" ht="15.75" customHeight="1" x14ac:dyDescent="0.25">
      <c r="A60" t="s">
        <v>31</v>
      </c>
      <c r="B60" s="1">
        <f>SUM(B43:B59)</f>
        <v>0</v>
      </c>
      <c r="C60" s="1">
        <f>SUM(C43:C59)</f>
        <v>0</v>
      </c>
      <c r="D60" s="1">
        <f t="shared" ref="D60:N60" si="9">SUM(D43:D59)</f>
        <v>0</v>
      </c>
      <c r="E60" s="1">
        <f t="shared" si="9"/>
        <v>0</v>
      </c>
      <c r="F60" s="1">
        <f t="shared" si="9"/>
        <v>0</v>
      </c>
      <c r="G60" s="1">
        <f t="shared" si="9"/>
        <v>0</v>
      </c>
      <c r="H60" s="1">
        <f t="shared" si="9"/>
        <v>0</v>
      </c>
      <c r="I60" s="1">
        <f t="shared" si="9"/>
        <v>0</v>
      </c>
      <c r="J60" s="1">
        <f t="shared" si="9"/>
        <v>0</v>
      </c>
      <c r="K60" s="1">
        <f t="shared" si="9"/>
        <v>0</v>
      </c>
      <c r="L60" s="1">
        <f t="shared" si="9"/>
        <v>0</v>
      </c>
      <c r="M60" s="1">
        <f t="shared" si="9"/>
        <v>0</v>
      </c>
      <c r="N60" s="1">
        <f t="shared" si="9"/>
        <v>0</v>
      </c>
      <c r="O60" s="1">
        <v>-144971</v>
      </c>
    </row>
    <row r="61" spans="1:17" ht="15.7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>
        <v>0</v>
      </c>
    </row>
    <row r="62" spans="1:17" ht="15.75" customHeight="1" x14ac:dyDescent="0.25">
      <c r="A62" t="s">
        <v>102</v>
      </c>
      <c r="B62" s="4">
        <f>SUM(C62:N62)</f>
        <v>77700</v>
      </c>
      <c r="C62" s="4">
        <f t="shared" ref="C62:N62" si="10">C40+C60</f>
        <v>3958.333333333333</v>
      </c>
      <c r="D62" s="4">
        <f t="shared" si="10"/>
        <v>3958.333333333333</v>
      </c>
      <c r="E62" s="4">
        <f t="shared" si="10"/>
        <v>3958.333333333333</v>
      </c>
      <c r="F62" s="4">
        <f t="shared" si="10"/>
        <v>10158.333333333332</v>
      </c>
      <c r="G62" s="4">
        <f t="shared" si="10"/>
        <v>6958.333333333333</v>
      </c>
      <c r="H62" s="4">
        <f t="shared" si="10"/>
        <v>6958.333333333333</v>
      </c>
      <c r="I62" s="4">
        <f t="shared" si="10"/>
        <v>6958.333333333333</v>
      </c>
      <c r="J62" s="4">
        <f t="shared" si="10"/>
        <v>6958.333333333333</v>
      </c>
      <c r="K62" s="4">
        <f t="shared" si="10"/>
        <v>6958.333333333333</v>
      </c>
      <c r="L62" s="4">
        <f t="shared" si="10"/>
        <v>6958.333333333333</v>
      </c>
      <c r="M62" s="4">
        <f t="shared" si="10"/>
        <v>6958.333333333333</v>
      </c>
      <c r="N62" s="4">
        <f t="shared" si="10"/>
        <v>6958.333333333333</v>
      </c>
      <c r="O62" s="1"/>
    </row>
    <row r="63" spans="1:17" ht="15.7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7" ht="15.75" customHeight="1" x14ac:dyDescent="0.25">
      <c r="A64" t="s">
        <v>62</v>
      </c>
      <c r="B64" s="1">
        <f t="shared" ref="B64:N64" si="11">B40+B60</f>
        <v>77700</v>
      </c>
      <c r="C64" s="1">
        <f t="shared" si="11"/>
        <v>3958.333333333333</v>
      </c>
      <c r="D64" s="1">
        <f t="shared" si="11"/>
        <v>3958.333333333333</v>
      </c>
      <c r="E64" s="1">
        <f t="shared" si="11"/>
        <v>3958.333333333333</v>
      </c>
      <c r="F64" s="1">
        <f t="shared" si="11"/>
        <v>10158.333333333332</v>
      </c>
      <c r="G64" s="1">
        <f t="shared" si="11"/>
        <v>6958.333333333333</v>
      </c>
      <c r="H64" s="1">
        <f t="shared" si="11"/>
        <v>6958.333333333333</v>
      </c>
      <c r="I64" s="1">
        <f t="shared" si="11"/>
        <v>6958.333333333333</v>
      </c>
      <c r="J64" s="1">
        <f t="shared" si="11"/>
        <v>6958.333333333333</v>
      </c>
      <c r="K64" s="1">
        <f t="shared" si="11"/>
        <v>6958.333333333333</v>
      </c>
      <c r="L64" s="1">
        <f t="shared" si="11"/>
        <v>6958.333333333333</v>
      </c>
      <c r="M64" s="1">
        <f t="shared" si="11"/>
        <v>6958.333333333333</v>
      </c>
      <c r="N64" s="1">
        <f t="shared" si="11"/>
        <v>6958.333333333333</v>
      </c>
      <c r="O64" s="1">
        <f>SUM(C64:N64)</f>
        <v>77700</v>
      </c>
    </row>
    <row r="65" spans="1:15" ht="15.75" customHeight="1" x14ac:dyDescent="0.25">
      <c r="A65" t="s">
        <v>63</v>
      </c>
      <c r="B65" s="1"/>
      <c r="C65" s="1">
        <f>C64</f>
        <v>3958.333333333333</v>
      </c>
      <c r="D65" s="1">
        <f t="shared" ref="D65:N65" si="12">D64</f>
        <v>3958.333333333333</v>
      </c>
      <c r="E65" s="1">
        <f t="shared" si="12"/>
        <v>3958.333333333333</v>
      </c>
      <c r="F65" s="1">
        <f t="shared" si="12"/>
        <v>10158.333333333332</v>
      </c>
      <c r="G65" s="1">
        <f t="shared" si="12"/>
        <v>6958.333333333333</v>
      </c>
      <c r="H65" s="1">
        <f t="shared" si="12"/>
        <v>6958.333333333333</v>
      </c>
      <c r="I65" s="1">
        <f t="shared" si="12"/>
        <v>6958.333333333333</v>
      </c>
      <c r="J65" s="1">
        <f t="shared" si="12"/>
        <v>6958.333333333333</v>
      </c>
      <c r="K65" s="1">
        <f t="shared" si="12"/>
        <v>6958.333333333333</v>
      </c>
      <c r="L65" s="1">
        <f t="shared" si="12"/>
        <v>6958.333333333333</v>
      </c>
      <c r="M65" s="1">
        <f t="shared" si="12"/>
        <v>6958.333333333333</v>
      </c>
      <c r="N65" s="1">
        <f t="shared" si="12"/>
        <v>6958.333333333333</v>
      </c>
      <c r="O65" s="1" t="s">
        <v>1</v>
      </c>
    </row>
    <row r="66" spans="1:15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5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5" ht="15.75" thickBot="1" x14ac:dyDescent="0.3">
      <c r="A68" t="s">
        <v>101</v>
      </c>
      <c r="B68" s="22">
        <f>B32-B62</f>
        <v>-96876</v>
      </c>
      <c r="C68" s="22">
        <f>B28-C62</f>
        <v>-3958.333333333333</v>
      </c>
      <c r="D68" s="22">
        <f t="shared" ref="D68:K68" si="13">C68-D62</f>
        <v>-7916.6666666666661</v>
      </c>
      <c r="E68" s="22">
        <f t="shared" si="13"/>
        <v>-11875</v>
      </c>
      <c r="F68" s="22">
        <f t="shared" si="13"/>
        <v>-22033.333333333332</v>
      </c>
      <c r="G68" s="22">
        <f t="shared" si="13"/>
        <v>-28991.666666666664</v>
      </c>
      <c r="H68" s="22">
        <f t="shared" si="13"/>
        <v>-35950</v>
      </c>
      <c r="I68" s="22">
        <f t="shared" si="13"/>
        <v>-42908.333333333336</v>
      </c>
      <c r="J68" s="22">
        <f t="shared" si="13"/>
        <v>-49866.666666666672</v>
      </c>
      <c r="K68" s="22">
        <f t="shared" si="13"/>
        <v>-56825.000000000007</v>
      </c>
      <c r="L68" s="22">
        <f>K68-L62+L32</f>
        <v>-63783.333333333343</v>
      </c>
      <c r="M68" s="22">
        <f>L68-M62</f>
        <v>-70741.666666666672</v>
      </c>
      <c r="N68" s="22">
        <f>M68-N62</f>
        <v>-77700</v>
      </c>
    </row>
    <row r="69" spans="1:15" ht="15.75" thickTop="1" x14ac:dyDescent="0.25"/>
  </sheetData>
  <pageMargins left="0.7" right="0.7" top="0.75" bottom="0.75" header="0.3" footer="0.3"/>
  <pageSetup scale="49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69"/>
  <sheetViews>
    <sheetView workbookViewId="0">
      <selection activeCell="A27" sqref="A27"/>
    </sheetView>
  </sheetViews>
  <sheetFormatPr defaultRowHeight="15" x14ac:dyDescent="0.25"/>
  <cols>
    <col min="1" max="1" width="26.42578125" customWidth="1"/>
    <col min="2" max="2" width="10.7109375" bestFit="1" customWidth="1"/>
    <col min="3" max="3" width="9.7109375" bestFit="1" customWidth="1"/>
    <col min="4" max="14" width="10" bestFit="1" customWidth="1"/>
    <col min="15" max="15" width="11.5703125" hidden="1" customWidth="1"/>
    <col min="16" max="16" width="45.7109375" style="3" customWidth="1"/>
  </cols>
  <sheetData>
    <row r="2" spans="1:16" ht="15.75" x14ac:dyDescent="0.25">
      <c r="A2" s="8" t="s">
        <v>0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/>
    </row>
    <row r="3" spans="1:16" ht="15.75" x14ac:dyDescent="0.25">
      <c r="A3" s="8" t="str">
        <f>'Budget Summary'!A3</f>
        <v>2009 Operating Budget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6" ht="15.75" x14ac:dyDescent="0.25">
      <c r="A4" s="14" t="s">
        <v>87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</row>
    <row r="5" spans="1:16" ht="15.75" x14ac:dyDescent="0.25">
      <c r="A5" s="12"/>
      <c r="B5" s="6" t="s">
        <v>2</v>
      </c>
      <c r="C5" s="7">
        <f>'Budget Summary'!C5</f>
        <v>39814</v>
      </c>
      <c r="D5" s="7">
        <f>C5+31</f>
        <v>39845</v>
      </c>
      <c r="E5" s="7">
        <f t="shared" ref="E5:N5" si="0">D5+31</f>
        <v>39876</v>
      </c>
      <c r="F5" s="7">
        <f t="shared" si="0"/>
        <v>39907</v>
      </c>
      <c r="G5" s="7">
        <f t="shared" si="0"/>
        <v>39938</v>
      </c>
      <c r="H5" s="7">
        <f t="shared" si="0"/>
        <v>39969</v>
      </c>
      <c r="I5" s="7">
        <f t="shared" si="0"/>
        <v>40000</v>
      </c>
      <c r="J5" s="7">
        <f t="shared" si="0"/>
        <v>40031</v>
      </c>
      <c r="K5" s="7">
        <f t="shared" si="0"/>
        <v>40062</v>
      </c>
      <c r="L5" s="7">
        <f t="shared" si="0"/>
        <v>40093</v>
      </c>
      <c r="M5" s="7">
        <f t="shared" si="0"/>
        <v>40124</v>
      </c>
      <c r="N5" s="7">
        <f t="shared" si="0"/>
        <v>40155</v>
      </c>
      <c r="O5" s="13" t="s">
        <v>62</v>
      </c>
      <c r="P5" s="2" t="s">
        <v>3</v>
      </c>
    </row>
    <row r="6" spans="1:16" hidden="1" x14ac:dyDescent="0.25">
      <c r="A6" t="s">
        <v>80</v>
      </c>
    </row>
    <row r="7" spans="1:16" hidden="1" x14ac:dyDescent="0.25">
      <c r="A7" t="s">
        <v>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136950</v>
      </c>
    </row>
    <row r="8" spans="1:16" hidden="1" x14ac:dyDescent="0.25">
      <c r="A8" t="s">
        <v>5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126000</v>
      </c>
    </row>
    <row r="9" spans="1:16" hidden="1" x14ac:dyDescent="0.25">
      <c r="A9" t="s">
        <v>6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126000</v>
      </c>
    </row>
    <row r="10" spans="1:16" hidden="1" x14ac:dyDescent="0.25">
      <c r="A10" t="s">
        <v>7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</row>
    <row r="11" spans="1:16" hidden="1" x14ac:dyDescent="0.25">
      <c r="A11" t="s">
        <v>8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40000</v>
      </c>
    </row>
    <row r="12" spans="1:16" hidden="1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</row>
    <row r="13" spans="1:16" hidden="1" x14ac:dyDescent="0.25">
      <c r="A13" t="s">
        <v>10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55000.000000000007</v>
      </c>
    </row>
    <row r="14" spans="1:16" hidden="1" x14ac:dyDescent="0.25">
      <c r="A14" t="s">
        <v>11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6" hidden="1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6" hidden="1" x14ac:dyDescent="0.25">
      <c r="A16" t="s">
        <v>13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40000</v>
      </c>
    </row>
    <row r="17" spans="1:15" hidden="1" x14ac:dyDescent="0.25">
      <c r="A17" t="s">
        <v>14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</row>
    <row r="18" spans="1:15" ht="15.75" customHeight="1" x14ac:dyDescent="0.25">
      <c r="A18" t="s">
        <v>93</v>
      </c>
      <c r="O18" t="s">
        <v>1</v>
      </c>
    </row>
    <row r="19" spans="1:15" ht="15.75" customHeight="1" x14ac:dyDescent="0.25">
      <c r="A19" t="s">
        <v>98</v>
      </c>
    </row>
    <row r="20" spans="1:15" ht="15.75" customHeight="1" x14ac:dyDescent="0.25">
      <c r="A20" t="s">
        <v>104</v>
      </c>
    </row>
    <row r="21" spans="1:15" ht="15.75" customHeight="1" x14ac:dyDescent="0.25">
      <c r="A21" t="s">
        <v>116</v>
      </c>
    </row>
    <row r="22" spans="1:15" ht="15.75" customHeight="1" x14ac:dyDescent="0.25">
      <c r="A22" t="s">
        <v>86</v>
      </c>
    </row>
    <row r="23" spans="1:15" ht="15.75" customHeight="1" x14ac:dyDescent="0.25">
      <c r="A23" t="s">
        <v>87</v>
      </c>
      <c r="B23" s="1">
        <f>SUM(C23:N23)</f>
        <v>0</v>
      </c>
    </row>
    <row r="24" spans="1:15" ht="15.75" customHeight="1" x14ac:dyDescent="0.25">
      <c r="A24" t="s">
        <v>88</v>
      </c>
      <c r="B24" s="1">
        <f>SUM(C24:N24)</f>
        <v>0</v>
      </c>
    </row>
    <row r="25" spans="1:15" ht="15.75" customHeight="1" x14ac:dyDescent="0.25">
      <c r="A25" t="s">
        <v>105</v>
      </c>
      <c r="B25" s="1">
        <f>SUM(C25:N25)</f>
        <v>0</v>
      </c>
    </row>
    <row r="26" spans="1:15" ht="15.75" customHeight="1" x14ac:dyDescent="0.25">
      <c r="A26" t="s">
        <v>106</v>
      </c>
      <c r="B26" s="1">
        <f>SUM(C26:N26)</f>
        <v>0</v>
      </c>
    </row>
    <row r="27" spans="1:15" ht="15.75" customHeight="1" x14ac:dyDescent="0.25">
      <c r="A27" t="s">
        <v>107</v>
      </c>
      <c r="B27" s="4">
        <f>SUM(C23:N23)</f>
        <v>0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15" ht="15.75" customHeight="1" x14ac:dyDescent="0.25">
      <c r="A28" t="s">
        <v>94</v>
      </c>
      <c r="B28" s="19">
        <f>SUM(B23:B27)</f>
        <v>0</v>
      </c>
      <c r="C28" s="19">
        <f t="shared" ref="C28:N28" si="1">SUM(C23:C27)</f>
        <v>0</v>
      </c>
      <c r="D28" s="19">
        <f t="shared" si="1"/>
        <v>0</v>
      </c>
      <c r="E28" s="19">
        <f t="shared" si="1"/>
        <v>0</v>
      </c>
      <c r="F28" s="19">
        <f t="shared" si="1"/>
        <v>0</v>
      </c>
      <c r="G28" s="19">
        <f t="shared" si="1"/>
        <v>0</v>
      </c>
      <c r="H28" s="19">
        <f t="shared" si="1"/>
        <v>0</v>
      </c>
      <c r="I28" s="19">
        <f t="shared" si="1"/>
        <v>0</v>
      </c>
      <c r="J28" s="19">
        <f t="shared" si="1"/>
        <v>0</v>
      </c>
      <c r="K28" s="19">
        <f t="shared" si="1"/>
        <v>0</v>
      </c>
      <c r="L28" s="19">
        <f t="shared" si="1"/>
        <v>0</v>
      </c>
      <c r="M28" s="19">
        <f t="shared" si="1"/>
        <v>0</v>
      </c>
      <c r="N28" s="19">
        <f t="shared" si="1"/>
        <v>0</v>
      </c>
    </row>
    <row r="29" spans="1:15" ht="15.75" customHeight="1" x14ac:dyDescent="0.2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5" ht="15.75" customHeight="1" x14ac:dyDescent="0.25">
      <c r="A30" t="s">
        <v>96</v>
      </c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5" ht="15.75" customHeight="1" x14ac:dyDescent="0.25">
      <c r="A31" t="s">
        <v>95</v>
      </c>
      <c r="B31" s="4">
        <f>SUM(C27:N27)</f>
        <v>0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5" ht="15.75" customHeight="1" x14ac:dyDescent="0.25">
      <c r="A32" t="s">
        <v>97</v>
      </c>
      <c r="B32" s="19">
        <f>B28-B31</f>
        <v>0</v>
      </c>
      <c r="C32" s="19">
        <f t="shared" ref="C32:N32" si="2">C28-C31</f>
        <v>0</v>
      </c>
      <c r="D32" s="19">
        <f t="shared" si="2"/>
        <v>0</v>
      </c>
      <c r="E32" s="19">
        <f t="shared" si="2"/>
        <v>0</v>
      </c>
      <c r="F32" s="19">
        <f t="shared" si="2"/>
        <v>0</v>
      </c>
      <c r="G32" s="19">
        <f t="shared" si="2"/>
        <v>0</v>
      </c>
      <c r="H32" s="19">
        <f t="shared" si="2"/>
        <v>0</v>
      </c>
      <c r="I32" s="19">
        <f t="shared" si="2"/>
        <v>0</v>
      </c>
      <c r="J32" s="19">
        <f t="shared" si="2"/>
        <v>0</v>
      </c>
      <c r="K32" s="19">
        <f t="shared" si="2"/>
        <v>0</v>
      </c>
      <c r="L32" s="19">
        <f t="shared" si="2"/>
        <v>0</v>
      </c>
      <c r="M32" s="19">
        <f t="shared" si="2"/>
        <v>0</v>
      </c>
      <c r="N32" s="19">
        <f t="shared" si="2"/>
        <v>0</v>
      </c>
    </row>
    <row r="33" spans="1:17" ht="15.75" customHeight="1" x14ac:dyDescent="0.25"/>
    <row r="34" spans="1:17" ht="15.75" customHeight="1" x14ac:dyDescent="0.25">
      <c r="A34" t="s">
        <v>92</v>
      </c>
    </row>
    <row r="35" spans="1:17" ht="15.75" customHeight="1" x14ac:dyDescent="0.25">
      <c r="A35" t="s">
        <v>21</v>
      </c>
      <c r="B35" s="1">
        <f>SUM(C35:N35)</f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523950.00000000006</v>
      </c>
      <c r="P35" s="3" t="s">
        <v>1</v>
      </c>
    </row>
    <row r="36" spans="1:17" ht="15.75" customHeight="1" x14ac:dyDescent="0.25">
      <c r="A36" t="s">
        <v>23</v>
      </c>
      <c r="B36" s="1">
        <f>SUM(C36:N36)</f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130987.5</v>
      </c>
      <c r="P36" s="3" t="s">
        <v>1</v>
      </c>
    </row>
    <row r="37" spans="1:17" ht="15.75" customHeight="1" x14ac:dyDescent="0.25">
      <c r="A37" t="s">
        <v>25</v>
      </c>
      <c r="B37" s="1">
        <f>SUM(C37:N37)</f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9000</v>
      </c>
      <c r="P37" s="3" t="s">
        <v>1</v>
      </c>
    </row>
    <row r="38" spans="1:17" ht="15.75" customHeight="1" x14ac:dyDescent="0.25">
      <c r="A38" t="s">
        <v>27</v>
      </c>
      <c r="B38" s="1">
        <f>SUM(C38:N38)</f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52395</v>
      </c>
      <c r="P38" s="3" t="s">
        <v>1</v>
      </c>
    </row>
    <row r="39" spans="1:17" ht="15.75" customHeight="1" x14ac:dyDescent="0.25">
      <c r="A39" t="s">
        <v>29</v>
      </c>
      <c r="B39" s="4">
        <f>SUM(C39:N39)</f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150000</v>
      </c>
      <c r="P39" s="3" t="s">
        <v>1</v>
      </c>
    </row>
    <row r="40" spans="1:17" ht="15.75" customHeight="1" x14ac:dyDescent="0.25">
      <c r="A40" t="s">
        <v>31</v>
      </c>
      <c r="B40" s="1">
        <f>SUM(B35:B39)</f>
        <v>0</v>
      </c>
      <c r="C40" s="1">
        <f>SUM(C35:C39)</f>
        <v>0</v>
      </c>
      <c r="D40" s="1">
        <f t="shared" ref="D40:N40" si="3">SUM(D35:D39)</f>
        <v>0</v>
      </c>
      <c r="E40" s="1">
        <f t="shared" si="3"/>
        <v>0</v>
      </c>
      <c r="F40" s="1">
        <f t="shared" si="3"/>
        <v>0</v>
      </c>
      <c r="G40" s="1">
        <f t="shared" si="3"/>
        <v>0</v>
      </c>
      <c r="H40" s="1">
        <f t="shared" si="3"/>
        <v>0</v>
      </c>
      <c r="I40" s="1">
        <f t="shared" si="3"/>
        <v>0</v>
      </c>
      <c r="J40" s="1">
        <f t="shared" si="3"/>
        <v>0</v>
      </c>
      <c r="K40" s="1">
        <f t="shared" si="3"/>
        <v>0</v>
      </c>
      <c r="L40" s="1">
        <f t="shared" si="3"/>
        <v>0</v>
      </c>
      <c r="M40" s="1">
        <f t="shared" si="3"/>
        <v>0</v>
      </c>
      <c r="N40" s="1">
        <f t="shared" si="3"/>
        <v>0</v>
      </c>
      <c r="O40" s="1">
        <v>866332.5</v>
      </c>
      <c r="P40" s="3" t="s">
        <v>1</v>
      </c>
    </row>
    <row r="41" spans="1:17" ht="15.7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>
        <v>0</v>
      </c>
      <c r="P41" s="3" t="s">
        <v>1</v>
      </c>
    </row>
    <row r="42" spans="1:17" ht="15.75" customHeight="1" x14ac:dyDescent="0.25">
      <c r="A42" t="s">
        <v>32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>
        <v>0</v>
      </c>
    </row>
    <row r="43" spans="1:17" ht="15.75" customHeight="1" x14ac:dyDescent="0.25">
      <c r="A43" t="s">
        <v>33</v>
      </c>
      <c r="B43" s="1">
        <f t="shared" ref="B43:B59" si="4">SUM(C43:N43)</f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9000</v>
      </c>
      <c r="P43" s="3" t="s">
        <v>1</v>
      </c>
      <c r="Q43" t="s">
        <v>1</v>
      </c>
    </row>
    <row r="44" spans="1:17" ht="15.75" customHeight="1" x14ac:dyDescent="0.25">
      <c r="A44" t="s">
        <v>35</v>
      </c>
      <c r="B44" s="1">
        <f t="shared" si="4"/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4800</v>
      </c>
      <c r="P44" s="3" t="s">
        <v>1</v>
      </c>
    </row>
    <row r="45" spans="1:17" ht="15.75" customHeight="1" x14ac:dyDescent="0.25">
      <c r="A45" t="s">
        <v>37</v>
      </c>
      <c r="B45" s="1">
        <f t="shared" si="4"/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7500</v>
      </c>
      <c r="P45" s="3" t="s">
        <v>1</v>
      </c>
    </row>
    <row r="46" spans="1:17" ht="15.75" customHeight="1" x14ac:dyDescent="0.25">
      <c r="A46" t="s">
        <v>39</v>
      </c>
      <c r="B46" s="1">
        <f t="shared" si="4"/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5400</v>
      </c>
      <c r="P46" s="3" t="s">
        <v>1</v>
      </c>
      <c r="Q46" t="s">
        <v>1</v>
      </c>
    </row>
    <row r="47" spans="1:17" ht="15.75" customHeight="1" x14ac:dyDescent="0.25">
      <c r="A47" t="s">
        <v>41</v>
      </c>
      <c r="B47" s="1">
        <f t="shared" si="4"/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600</v>
      </c>
      <c r="P47" s="3" t="s">
        <v>1</v>
      </c>
    </row>
    <row r="48" spans="1:17" ht="15.75" customHeight="1" x14ac:dyDescent="0.25">
      <c r="A48" t="s">
        <v>81</v>
      </c>
      <c r="B48" s="1">
        <f t="shared" si="4"/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7200</v>
      </c>
      <c r="P48" s="3" t="s">
        <v>1</v>
      </c>
    </row>
    <row r="49" spans="1:17" ht="15.75" customHeight="1" x14ac:dyDescent="0.25">
      <c r="A49" t="s">
        <v>45</v>
      </c>
      <c r="B49" s="1">
        <f t="shared" si="4"/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3600</v>
      </c>
      <c r="P49" s="3" t="s">
        <v>1</v>
      </c>
    </row>
    <row r="50" spans="1:17" ht="15.75" customHeight="1" x14ac:dyDescent="0.25">
      <c r="A50" t="s">
        <v>46</v>
      </c>
      <c r="B50" s="1">
        <f t="shared" si="4"/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9000</v>
      </c>
      <c r="P50" s="3" t="s">
        <v>1</v>
      </c>
    </row>
    <row r="51" spans="1:17" ht="15.75" customHeight="1" x14ac:dyDescent="0.25">
      <c r="A51" t="s">
        <v>48</v>
      </c>
      <c r="B51" s="1">
        <f t="shared" si="4"/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6000</v>
      </c>
      <c r="P51" s="3" t="s">
        <v>1</v>
      </c>
    </row>
    <row r="52" spans="1:17" ht="15.75" customHeight="1" x14ac:dyDescent="0.25">
      <c r="A52" t="s">
        <v>50</v>
      </c>
      <c r="B52" s="1">
        <f t="shared" si="4"/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17800.000000000004</v>
      </c>
      <c r="P52" s="3" t="s">
        <v>1</v>
      </c>
      <c r="Q52" t="s">
        <v>1</v>
      </c>
    </row>
    <row r="53" spans="1:17" ht="15.75" customHeight="1" x14ac:dyDescent="0.25">
      <c r="A53" t="s">
        <v>78</v>
      </c>
      <c r="B53" s="1">
        <f t="shared" si="4"/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/>
      <c r="P53" s="3" t="s">
        <v>1</v>
      </c>
    </row>
    <row r="54" spans="1:17" ht="15.75" customHeight="1" x14ac:dyDescent="0.25">
      <c r="A54" t="s">
        <v>52</v>
      </c>
      <c r="B54" s="1">
        <f t="shared" si="4"/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480</v>
      </c>
      <c r="P54" s="3" t="s">
        <v>1</v>
      </c>
    </row>
    <row r="55" spans="1:17" ht="15.75" customHeight="1" x14ac:dyDescent="0.25">
      <c r="A55" t="s">
        <v>54</v>
      </c>
      <c r="B55" s="1">
        <f t="shared" si="4"/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36000</v>
      </c>
      <c r="P55" s="3" t="s">
        <v>1</v>
      </c>
    </row>
    <row r="56" spans="1:17" ht="15.75" customHeight="1" x14ac:dyDescent="0.25">
      <c r="A56" t="s">
        <v>100</v>
      </c>
      <c r="B56" s="1">
        <f>SUM(C56:N56)</f>
        <v>0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7" ht="15.75" customHeight="1" x14ac:dyDescent="0.25">
      <c r="A57" t="s">
        <v>56</v>
      </c>
      <c r="B57" s="1">
        <f t="shared" si="4"/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3780</v>
      </c>
      <c r="P57" s="3" t="s">
        <v>1</v>
      </c>
    </row>
    <row r="58" spans="1:17" ht="15.75" customHeight="1" x14ac:dyDescent="0.25">
      <c r="A58" t="s">
        <v>58</v>
      </c>
      <c r="B58" s="1">
        <f t="shared" si="4"/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3" t="s">
        <v>1</v>
      </c>
    </row>
    <row r="59" spans="1:17" ht="15.75" customHeight="1" x14ac:dyDescent="0.25">
      <c r="A59" t="s">
        <v>60</v>
      </c>
      <c r="B59" s="4">
        <f t="shared" si="4"/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-280131</v>
      </c>
    </row>
    <row r="60" spans="1:17" ht="15.75" customHeight="1" x14ac:dyDescent="0.25">
      <c r="A60" t="s">
        <v>31</v>
      </c>
      <c r="B60" s="1">
        <f>SUM(B43:B59)</f>
        <v>0</v>
      </c>
      <c r="C60" s="1">
        <f>SUM(C43:C59)</f>
        <v>0</v>
      </c>
      <c r="D60" s="1">
        <f t="shared" ref="D60:N60" si="5">SUM(D43:D59)</f>
        <v>0</v>
      </c>
      <c r="E60" s="1">
        <f t="shared" si="5"/>
        <v>0</v>
      </c>
      <c r="F60" s="1">
        <f t="shared" si="5"/>
        <v>0</v>
      </c>
      <c r="G60" s="1">
        <f t="shared" si="5"/>
        <v>0</v>
      </c>
      <c r="H60" s="1">
        <f t="shared" si="5"/>
        <v>0</v>
      </c>
      <c r="I60" s="1">
        <f t="shared" si="5"/>
        <v>0</v>
      </c>
      <c r="J60" s="1">
        <f t="shared" si="5"/>
        <v>0</v>
      </c>
      <c r="K60" s="1">
        <f t="shared" si="5"/>
        <v>0</v>
      </c>
      <c r="L60" s="1">
        <f t="shared" si="5"/>
        <v>0</v>
      </c>
      <c r="M60" s="1">
        <f t="shared" si="5"/>
        <v>0</v>
      </c>
      <c r="N60" s="1">
        <f t="shared" si="5"/>
        <v>0</v>
      </c>
      <c r="O60" s="1">
        <v>-144971</v>
      </c>
    </row>
    <row r="61" spans="1:17" ht="15.7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>
        <v>0</v>
      </c>
    </row>
    <row r="62" spans="1:17" ht="15.75" customHeight="1" x14ac:dyDescent="0.25">
      <c r="A62" t="s">
        <v>102</v>
      </c>
      <c r="B62" s="4">
        <f>SUM(C62:N62)</f>
        <v>0</v>
      </c>
      <c r="C62" s="4">
        <f t="shared" ref="C62:N62" si="6">C40+C60</f>
        <v>0</v>
      </c>
      <c r="D62" s="4">
        <f t="shared" si="6"/>
        <v>0</v>
      </c>
      <c r="E62" s="4">
        <f t="shared" si="6"/>
        <v>0</v>
      </c>
      <c r="F62" s="4">
        <f t="shared" si="6"/>
        <v>0</v>
      </c>
      <c r="G62" s="4">
        <f t="shared" si="6"/>
        <v>0</v>
      </c>
      <c r="H62" s="4">
        <f t="shared" si="6"/>
        <v>0</v>
      </c>
      <c r="I62" s="4">
        <f t="shared" si="6"/>
        <v>0</v>
      </c>
      <c r="J62" s="4">
        <f t="shared" si="6"/>
        <v>0</v>
      </c>
      <c r="K62" s="4">
        <f t="shared" si="6"/>
        <v>0</v>
      </c>
      <c r="L62" s="4">
        <f t="shared" si="6"/>
        <v>0</v>
      </c>
      <c r="M62" s="4">
        <f t="shared" si="6"/>
        <v>0</v>
      </c>
      <c r="N62" s="4">
        <f t="shared" si="6"/>
        <v>0</v>
      </c>
      <c r="O62" s="1"/>
    </row>
    <row r="63" spans="1:17" ht="15.7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7" ht="15.75" customHeight="1" x14ac:dyDescent="0.25">
      <c r="A64" t="s">
        <v>62</v>
      </c>
      <c r="B64" s="1">
        <f t="shared" ref="B64:N64" si="7">B40+B60</f>
        <v>0</v>
      </c>
      <c r="C64" s="1">
        <f t="shared" si="7"/>
        <v>0</v>
      </c>
      <c r="D64" s="1">
        <f t="shared" si="7"/>
        <v>0</v>
      </c>
      <c r="E64" s="1">
        <f t="shared" si="7"/>
        <v>0</v>
      </c>
      <c r="F64" s="1">
        <f t="shared" si="7"/>
        <v>0</v>
      </c>
      <c r="G64" s="1">
        <f t="shared" si="7"/>
        <v>0</v>
      </c>
      <c r="H64" s="1">
        <f t="shared" si="7"/>
        <v>0</v>
      </c>
      <c r="I64" s="1">
        <f t="shared" si="7"/>
        <v>0</v>
      </c>
      <c r="J64" s="1">
        <f t="shared" si="7"/>
        <v>0</v>
      </c>
      <c r="K64" s="1">
        <f t="shared" si="7"/>
        <v>0</v>
      </c>
      <c r="L64" s="1">
        <f t="shared" si="7"/>
        <v>0</v>
      </c>
      <c r="M64" s="1">
        <f t="shared" si="7"/>
        <v>0</v>
      </c>
      <c r="N64" s="1">
        <f t="shared" si="7"/>
        <v>0</v>
      </c>
      <c r="O64" s="1">
        <f>SUM(C64:N64)</f>
        <v>0</v>
      </c>
    </row>
    <row r="65" spans="1:15" ht="15.75" customHeight="1" x14ac:dyDescent="0.25">
      <c r="A65" t="s">
        <v>63</v>
      </c>
      <c r="B65" s="1"/>
      <c r="C65" s="1">
        <f>C64</f>
        <v>0</v>
      </c>
      <c r="D65" s="1">
        <f t="shared" ref="D65:N65" si="8">D64</f>
        <v>0</v>
      </c>
      <c r="E65" s="1">
        <f t="shared" si="8"/>
        <v>0</v>
      </c>
      <c r="F65" s="1">
        <f t="shared" si="8"/>
        <v>0</v>
      </c>
      <c r="G65" s="1">
        <f t="shared" si="8"/>
        <v>0</v>
      </c>
      <c r="H65" s="1">
        <f t="shared" si="8"/>
        <v>0</v>
      </c>
      <c r="I65" s="1">
        <f t="shared" si="8"/>
        <v>0</v>
      </c>
      <c r="J65" s="1">
        <f t="shared" si="8"/>
        <v>0</v>
      </c>
      <c r="K65" s="1">
        <f t="shared" si="8"/>
        <v>0</v>
      </c>
      <c r="L65" s="1">
        <f t="shared" si="8"/>
        <v>0</v>
      </c>
      <c r="M65" s="1">
        <f t="shared" si="8"/>
        <v>0</v>
      </c>
      <c r="N65" s="1">
        <f t="shared" si="8"/>
        <v>0</v>
      </c>
      <c r="O65" s="1" t="s">
        <v>1</v>
      </c>
    </row>
    <row r="68" spans="1:15" ht="15.75" thickBot="1" x14ac:dyDescent="0.3">
      <c r="A68" t="s">
        <v>101</v>
      </c>
      <c r="B68" s="22">
        <f>SUM(C68:N68)</f>
        <v>0</v>
      </c>
      <c r="C68" s="22">
        <f t="shared" ref="C68:N68" si="9">C32-C62</f>
        <v>0</v>
      </c>
      <c r="D68" s="22">
        <f t="shared" si="9"/>
        <v>0</v>
      </c>
      <c r="E68" s="22">
        <f t="shared" si="9"/>
        <v>0</v>
      </c>
      <c r="F68" s="22">
        <f t="shared" si="9"/>
        <v>0</v>
      </c>
      <c r="G68" s="22">
        <f t="shared" si="9"/>
        <v>0</v>
      </c>
      <c r="H68" s="22">
        <f t="shared" si="9"/>
        <v>0</v>
      </c>
      <c r="I68" s="22">
        <f t="shared" si="9"/>
        <v>0</v>
      </c>
      <c r="J68" s="22">
        <f t="shared" si="9"/>
        <v>0</v>
      </c>
      <c r="K68" s="22">
        <f t="shared" si="9"/>
        <v>0</v>
      </c>
      <c r="L68" s="22">
        <f t="shared" si="9"/>
        <v>0</v>
      </c>
      <c r="M68" s="22">
        <f t="shared" si="9"/>
        <v>0</v>
      </c>
      <c r="N68" s="22">
        <f t="shared" si="9"/>
        <v>0</v>
      </c>
    </row>
    <row r="69" spans="1:15" ht="15.75" thickTop="1" x14ac:dyDescent="0.25"/>
  </sheetData>
  <pageMargins left="0.7" right="0.7" top="0.75" bottom="0.75" header="0.3" footer="0.3"/>
  <pageSetup scale="57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</vt:i4>
      </vt:variant>
    </vt:vector>
  </HeadingPairs>
  <TitlesOfParts>
    <vt:vector size="16" baseType="lpstr">
      <vt:lpstr>Projected Cash Flow Rev Aug13</vt:lpstr>
      <vt:lpstr>Projected Cash Flow</vt:lpstr>
      <vt:lpstr>Budget Summary</vt:lpstr>
      <vt:lpstr>Cash Flow</vt:lpstr>
      <vt:lpstr>REACH</vt:lpstr>
      <vt:lpstr>Community Technical Advisory </vt:lpstr>
      <vt:lpstr>Renaissance Guild</vt:lpstr>
      <vt:lpstr>CDFI</vt:lpstr>
      <vt:lpstr>MS Loan Fund</vt:lpstr>
      <vt:lpstr>Site Acceleration Fund</vt:lpstr>
      <vt:lpstr>Wachovia Grant</vt:lpstr>
      <vt:lpstr>G&amp;A</vt:lpstr>
      <vt:lpstr>Summary CF Schedule - New</vt:lpstr>
      <vt:lpstr>'Projected Cash Flow'!Print_Area</vt:lpstr>
      <vt:lpstr>'Projected Cash Flow Rev Aug13'!Print_Area</vt:lpstr>
      <vt:lpstr>'Summary CF Schedule - New'!Print_Area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collette</dc:creator>
  <cp:lastModifiedBy>Chuck Wall</cp:lastModifiedBy>
  <cp:lastPrinted>2019-09-04T18:53:49Z</cp:lastPrinted>
  <dcterms:created xsi:type="dcterms:W3CDTF">2007-10-25T16:38:18Z</dcterms:created>
  <dcterms:modified xsi:type="dcterms:W3CDTF">2019-09-20T16:38:05Z</dcterms:modified>
</cp:coreProperties>
</file>