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2"/>
  <workbookPr codeName="ThisWorkbook" defaultThemeVersion="124226"/>
  <mc:AlternateContent xmlns:mc="http://schemas.openxmlformats.org/markup-compatibility/2006">
    <mc:Choice Requires="x15">
      <x15ac:absPath xmlns:x15ac="http://schemas.microsoft.com/office/spreadsheetml/2010/11/ac" url="/Users/lindsayjwells/Dropbox/8-1-19 files/Financial Management Conference 2019/Materials/"/>
    </mc:Choice>
  </mc:AlternateContent>
  <xr:revisionPtr revIDLastSave="0" documentId="8_{41AAB1BA-9CB6-E347-B4A7-B13BD8348AC3}" xr6:coauthVersionLast="44" xr6:coauthVersionMax="44" xr10:uidLastSave="{00000000-0000-0000-0000-000000000000}"/>
  <bookViews>
    <workbookView xWindow="0" yWindow="0" windowWidth="25600" windowHeight="16000" tabRatio="888" activeTab="4" xr2:uid="{00000000-000D-0000-FFFF-FFFF00000000}"/>
  </bookViews>
  <sheets>
    <sheet name="Cover" sheetId="8" r:id="rId1"/>
    <sheet name="List of Active Projects" sheetId="37" r:id="rId2"/>
    <sheet name="Pipeline Demographics-Active" sheetId="2" r:id="rId3"/>
    <sheet name="Pipeline Demographics-Inactive" sheetId="38" r:id="rId4"/>
    <sheet name="Pipeline Demographics-ALL" sheetId="39" r:id="rId5"/>
    <sheet name="2012DevFee Budget-DO NOT CHANGE" sheetId="69" state="hidden" r:id="rId6"/>
    <sheet name="Forecast Tracker" sheetId="70" state="hidden" r:id="rId7"/>
    <sheet name="Detail" sheetId="1" r:id="rId8"/>
    <sheet name="Operational P&amp;L" sheetId="98" r:id="rId9"/>
    <sheet name="Reporting Summary RVSD" sheetId="11" r:id="rId10"/>
    <sheet name="26th &amp; Kostner" sheetId="72" r:id="rId11"/>
    <sheet name="Countryside" sheetId="73" r:id="rId12"/>
    <sheet name="Countryside Cap Installments" sheetId="95" r:id="rId13"/>
    <sheet name="Grayslake" sheetId="74" r:id="rId14"/>
    <sheet name="Grayslake Cap Installments" sheetId="93" r:id="rId15"/>
    <sheet name="MKE - Johnston Center" sheetId="75" r:id="rId16"/>
    <sheet name="Pullman" sheetId="76" r:id="rId17"/>
    <sheet name="Pullman Cap Installments" sheetId="96" r:id="rId18"/>
    <sheet name="Roseland" sheetId="77" r:id="rId19"/>
    <sheet name="Sterling Park" sheetId="78" r:id="rId20"/>
    <sheet name="MKE - 5th Ward" sheetId="79" r:id="rId21"/>
    <sheet name="MKE - Greenwich Apts" sheetId="80" r:id="rId22"/>
    <sheet name="YMCA Austin" sheetId="81" r:id="rId23"/>
    <sheet name="HWA" sheetId="82" r:id="rId24"/>
    <sheet name="850 Eastwood" sheetId="83" r:id="rId25"/>
    <sheet name="HWA-850 Capital Installments" sheetId="94" r:id="rId26"/>
    <sheet name="Uptown Refi" sheetId="84" r:id="rId27"/>
    <sheet name="Kankakee" sheetId="85" r:id="rId28"/>
    <sheet name="Johnston Ctr 2" sheetId="86" r:id="rId29"/>
    <sheet name="Danville VA Hospital" sheetId="87" r:id="rId30"/>
    <sheet name="Childrens Memorial" sheetId="88" r:id="rId31"/>
    <sheet name="Englewood" sheetId="89" r:id="rId32"/>
    <sheet name="Menomonee River Valley" sheetId="90" r:id="rId33"/>
    <sheet name="Pullman Wheelworks 2" sheetId="91" r:id="rId34"/>
    <sheet name="Danville VA Hospital 2" sheetId="92" r:id="rId35"/>
    <sheet name="Westside Resyndication" sheetId="66" r:id="rId36"/>
    <sheet name="Staff Capacity" sheetId="97" r:id="rId37"/>
    <sheet name="Debt Repay Schedule" sheetId="40" r:id="rId38"/>
    <sheet name="2012 Detail by Month" sheetId="41" r:id="rId39"/>
    <sheet name="Sheet1" sheetId="71" r:id="rId40"/>
  </sheets>
  <externalReferences>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Order2" hidden="1">255</definedName>
    <definedName name="All_Business_Units">'[1]Business Unit List'!$B$2:$B$349</definedName>
    <definedName name="DevType" localSheetId="36">[2]DropDownMenu!$C$2:$C$19</definedName>
    <definedName name="DevType">[3]DropDownMenu!$C$2:$C$19</definedName>
    <definedName name="Greenwood">[4]Denver!$A$217:$I$271</definedName>
    <definedName name="Harlequin">[4]Denver!$A$1:$I$53</definedName>
    <definedName name="Highlight_Account_with_adjustments_required">[5]CHANGES!$B$4:$B$78</definedName>
    <definedName name="m">[6]Assumptions!$E$4</definedName>
    <definedName name="nunvar">'[7]Control Sheet'!$C$7</definedName>
    <definedName name="NvsASD">"V2001-03-31"</definedName>
    <definedName name="NvsAutoDrillOk">"VN"</definedName>
    <definedName name="NvsInstSpec">"%,FPROJECT_ID,V04GA033"</definedName>
    <definedName name="NvsLayoutType">"M3"</definedName>
    <definedName name="NvsNplSpec">"%,X,RZF..,CZF.."</definedName>
    <definedName name="NvsPanelEffdt">"V1900-01-01"</definedName>
    <definedName name="NvsPanelSetid">"V04000"</definedName>
    <definedName name="NvsReqBU">"V04000"</definedName>
    <definedName name="NvsReqBUOnly">"VN"</definedName>
    <definedName name="NvsTransLed">"VN"</definedName>
    <definedName name="NvsTreeASD">"V2001-03-31"</definedName>
    <definedName name="NvsValTbl.ACCOUNT">"GL_ACCOUNT_TBL"</definedName>
    <definedName name="NvsValTbl.ACTIVITY_ID">"PROJ_ACTIVITY"</definedName>
    <definedName name="NvsValTbl.CURRENCY_CD">"CURRENCY_CD_TBL"</definedName>
    <definedName name="NvsValTbl.PROJECT_ID">"PROJECT"</definedName>
    <definedName name="NvsValTbl.RESOURCE_CATEGORY">"PROJ_CATG_TBL"</definedName>
    <definedName name="NvsValTbl.RESOURCE_TYPE">"PROJ_RES_TYPE"</definedName>
    <definedName name="OFFSF">[8]INFO!$B$16</definedName>
    <definedName name="Panarama">[4]Denver!$A$325:$I$378</definedName>
    <definedName name="PARKSF">[8]INFO!$B$25</definedName>
    <definedName name="Phase" localSheetId="36">[2]DropDownMenu!$E$2:$E$19</definedName>
    <definedName name="Phase">[3]DropDownMenu!$E$2:$E$19</definedName>
    <definedName name="_xlnm.Print_Area" localSheetId="10">'26th &amp; Kostner'!$B$1:$N$59</definedName>
    <definedName name="_xlnm.Print_Area" localSheetId="24">'850 Eastwood'!$B$1:$N$59</definedName>
    <definedName name="_xlnm.Print_Area" localSheetId="30">'Childrens Memorial'!$B$1:$N$59</definedName>
    <definedName name="_xlnm.Print_Area" localSheetId="11">Countryside!$B$1:$N$59</definedName>
    <definedName name="_xlnm.Print_Area" localSheetId="0">Cover!$A$1:$H$42</definedName>
    <definedName name="_xlnm.Print_Area" localSheetId="29">'Danville VA Hospital'!$B$1:$N$59</definedName>
    <definedName name="_xlnm.Print_Area" localSheetId="34">'Danville VA Hospital 2'!$B$1:$N$59</definedName>
    <definedName name="_xlnm.Print_Area" localSheetId="7">Detail!$A$23:$BM$58</definedName>
    <definedName name="_xlnm.Print_Area" localSheetId="31">Englewood!$B$1:$N$59</definedName>
    <definedName name="_xlnm.Print_Area" localSheetId="13">Grayslake!$B$1:$N$66</definedName>
    <definedName name="_xlnm.Print_Area" localSheetId="23">HWA!$B$1:$N$59</definedName>
    <definedName name="_xlnm.Print_Area" localSheetId="28">'Johnston Ctr 2'!$B$1:$N$59</definedName>
    <definedName name="_xlnm.Print_Area" localSheetId="27">Kankakee!$B$1:$N$59</definedName>
    <definedName name="_xlnm.Print_Area" localSheetId="1">'List of Active Projects'!$A$2:$K$34</definedName>
    <definedName name="_xlnm.Print_Area" localSheetId="32">'Menomonee River Valley'!$B$1:$N$59</definedName>
    <definedName name="_xlnm.Print_Area" localSheetId="20">'MKE - 5th Ward'!$B$1:$N$59</definedName>
    <definedName name="_xlnm.Print_Area" localSheetId="21">'MKE - Greenwich Apts'!$B$1:$N$59</definedName>
    <definedName name="_xlnm.Print_Area" localSheetId="15">'MKE - Johnston Center'!$B$1:$N$59</definedName>
    <definedName name="_xlnm.Print_Area" localSheetId="8">#REF!</definedName>
    <definedName name="_xlnm.Print_Area" localSheetId="4">#REF!</definedName>
    <definedName name="_xlnm.Print_Area" localSheetId="3">#REF!</definedName>
    <definedName name="_xlnm.Print_Area" localSheetId="16">Pullman!$B$1:$N$59</definedName>
    <definedName name="_xlnm.Print_Area" localSheetId="33">'Pullman Wheelworks 2'!$B$1:$N$59</definedName>
    <definedName name="_xlnm.Print_Area" localSheetId="9">'Reporting Summary RVSD'!$A$1:$K$87</definedName>
    <definedName name="_xlnm.Print_Area" localSheetId="18">Roseland!$B$1:$N$59</definedName>
    <definedName name="_xlnm.Print_Area" localSheetId="36">'Staff Capacity'!$A$1:$L$127</definedName>
    <definedName name="_xlnm.Print_Area" localSheetId="19">'Sterling Park'!$B$1:$N$59</definedName>
    <definedName name="_xlnm.Print_Area" localSheetId="26">'Uptown Refi'!$B$1:$N$59</definedName>
    <definedName name="_xlnm.Print_Area" localSheetId="35">'Westside Resyndication'!$B$1:$N$59</definedName>
    <definedName name="_xlnm.Print_Area" localSheetId="22">'YMCA Austin'!$B$1:$N$59</definedName>
    <definedName name="_xlnm.Print_Area">#REF!</definedName>
    <definedName name="_xlnm.Print_Titles" localSheetId="38">'2012 Detail by Month'!$1:$1</definedName>
    <definedName name="_xlnm.Print_Titles" localSheetId="37">'Debt Repay Schedule'!$1:$1</definedName>
    <definedName name="_xlnm.Print_Titles" localSheetId="7">Detail!$A:$A</definedName>
    <definedName name="_xlnm.Print_Titles" localSheetId="8">'Operational P&amp;L'!$A:$B</definedName>
    <definedName name="_xlnm.Print_Titles" localSheetId="9">'Reporting Summary RVSD'!$1:$3</definedName>
    <definedName name="QuebecCenter">[4]Denver!$A$271:$I$324</definedName>
    <definedName name="QuebecCt1">[4]Denver!$A$55:$I$107</definedName>
    <definedName name="QuebecCt2">[4]Denver!$A$108:$I$162</definedName>
    <definedName name="Quorum">[4]Denver!$A$163:$I$216</definedName>
    <definedName name="RETSF">[8]INFO!$B$18</definedName>
    <definedName name="STORAGESF">[8]INFO!$B$23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7" i="98" l="1"/>
  <c r="I7" i="98"/>
  <c r="U7" i="98"/>
  <c r="U10" i="98" s="1"/>
  <c r="Q13" i="98"/>
  <c r="R13" i="98"/>
  <c r="S13" i="98"/>
  <c r="U13" i="98" s="1"/>
  <c r="Q14" i="98"/>
  <c r="R14" i="98"/>
  <c r="S14" i="98"/>
  <c r="U15" i="98"/>
  <c r="S16" i="98"/>
  <c r="Q17" i="98"/>
  <c r="R17" i="98"/>
  <c r="S17" i="98"/>
  <c r="Q18" i="98"/>
  <c r="U18" i="98" s="1"/>
  <c r="R19" i="98"/>
  <c r="S19" i="98"/>
  <c r="T20" i="98"/>
  <c r="U20" i="98" s="1"/>
  <c r="S21" i="98"/>
  <c r="U21" i="98" s="1"/>
  <c r="U22" i="98"/>
  <c r="Q23" i="98"/>
  <c r="U23" i="98" s="1"/>
  <c r="Q24" i="98"/>
  <c r="R24" i="98"/>
  <c r="S24" i="98"/>
  <c r="Q25" i="98"/>
  <c r="R25" i="98"/>
  <c r="S25" i="98"/>
  <c r="U26" i="98"/>
  <c r="Q27" i="98"/>
  <c r="S27" i="98"/>
  <c r="U27" i="98"/>
  <c r="Q28" i="98"/>
  <c r="R28" i="98"/>
  <c r="S28" i="98"/>
  <c r="U29" i="98"/>
  <c r="Q30" i="98"/>
  <c r="R30" i="98"/>
  <c r="S30" i="98"/>
  <c r="I10" i="98"/>
  <c r="O10" i="98"/>
  <c r="E13" i="98"/>
  <c r="F13" i="98"/>
  <c r="G13" i="98"/>
  <c r="K13" i="98"/>
  <c r="L13" i="98"/>
  <c r="M13" i="98"/>
  <c r="E14" i="98"/>
  <c r="E32" i="98" s="1"/>
  <c r="F14" i="98"/>
  <c r="G14" i="98"/>
  <c r="K14" i="98"/>
  <c r="L14" i="98"/>
  <c r="M14" i="98"/>
  <c r="I15" i="98"/>
  <c r="O15" i="98"/>
  <c r="I16" i="98"/>
  <c r="O16" i="98"/>
  <c r="I17" i="98"/>
  <c r="O17" i="98"/>
  <c r="I18" i="98"/>
  <c r="O18" i="98"/>
  <c r="I19" i="98"/>
  <c r="O19" i="98"/>
  <c r="I20" i="98"/>
  <c r="O20" i="98"/>
  <c r="I21" i="98"/>
  <c r="O21" i="98"/>
  <c r="I22" i="98"/>
  <c r="O22" i="98"/>
  <c r="I23" i="98"/>
  <c r="O23" i="98"/>
  <c r="I24" i="98"/>
  <c r="O24" i="98"/>
  <c r="I25" i="98"/>
  <c r="O25" i="98"/>
  <c r="I26" i="98"/>
  <c r="O26" i="98"/>
  <c r="I27" i="98"/>
  <c r="O27" i="98"/>
  <c r="I28" i="98"/>
  <c r="O28" i="98"/>
  <c r="I29" i="98"/>
  <c r="O29" i="98"/>
  <c r="I30" i="98"/>
  <c r="L30" i="98"/>
  <c r="O30" i="98"/>
  <c r="H32" i="98"/>
  <c r="N32" i="98"/>
  <c r="T32" i="98" l="1"/>
  <c r="U14" i="98"/>
  <c r="U28" i="98"/>
  <c r="U30" i="98"/>
  <c r="Q32" i="98"/>
  <c r="U24" i="98"/>
  <c r="U19" i="98"/>
  <c r="R32" i="98"/>
  <c r="U25" i="98"/>
  <c r="S32" i="98"/>
  <c r="U17" i="98"/>
  <c r="U16" i="98"/>
  <c r="M32" i="98"/>
  <c r="O14" i="98"/>
  <c r="L32" i="98"/>
  <c r="I14" i="98"/>
  <c r="O13" i="98"/>
  <c r="G32" i="98"/>
  <c r="K32" i="98"/>
  <c r="I13" i="98"/>
  <c r="F32" i="98"/>
  <c r="I32" i="98" l="1"/>
  <c r="I34" i="98" s="1"/>
  <c r="I38" i="98" s="1"/>
  <c r="I39" i="98" s="1"/>
  <c r="U32" i="98"/>
  <c r="U34" i="98" s="1"/>
  <c r="U39" i="98" s="1"/>
  <c r="O32" i="98"/>
  <c r="O34" i="98" s="1"/>
  <c r="O38" i="98" s="1"/>
  <c r="O39" i="98" s="1"/>
  <c r="F8" i="2"/>
  <c r="D8" i="2"/>
  <c r="B8" i="2"/>
  <c r="B7" i="2"/>
  <c r="D3" i="97" l="1"/>
  <c r="H18" i="97" s="1"/>
  <c r="F3" i="97"/>
  <c r="K3" i="97"/>
  <c r="K4" i="97" s="1"/>
  <c r="K5" i="97" s="1"/>
  <c r="K6" i="97" s="1"/>
  <c r="K8" i="97" s="1"/>
  <c r="D4" i="97"/>
  <c r="F4" i="97"/>
  <c r="D5" i="97"/>
  <c r="F5" i="97"/>
  <c r="D6" i="97"/>
  <c r="F6" i="97"/>
  <c r="D7" i="97"/>
  <c r="F7" i="97"/>
  <c r="D8" i="97"/>
  <c r="F8" i="97"/>
  <c r="D9" i="97"/>
  <c r="F9" i="97"/>
  <c r="K9" i="97"/>
  <c r="D10" i="97"/>
  <c r="F10" i="97"/>
  <c r="D11" i="97"/>
  <c r="F11" i="97"/>
  <c r="D12" i="97"/>
  <c r="F12" i="97"/>
  <c r="D13" i="97"/>
  <c r="F13" i="97"/>
  <c r="D14" i="97"/>
  <c r="F14" i="97"/>
  <c r="A18" i="97"/>
  <c r="B18" i="97"/>
  <c r="A19" i="97"/>
  <c r="B19" i="97"/>
  <c r="A20" i="97"/>
  <c r="A92" i="97" s="1"/>
  <c r="B20" i="97"/>
  <c r="A21" i="97"/>
  <c r="B21" i="97"/>
  <c r="A22" i="97"/>
  <c r="B22" i="97"/>
  <c r="A23" i="97"/>
  <c r="B23" i="97"/>
  <c r="B24" i="97"/>
  <c r="B25" i="97"/>
  <c r="A26" i="97"/>
  <c r="B26" i="97"/>
  <c r="A27" i="97"/>
  <c r="B27" i="97"/>
  <c r="A28" i="97"/>
  <c r="B28" i="97"/>
  <c r="B30" i="97"/>
  <c r="A38" i="97"/>
  <c r="A90" i="97" s="1"/>
  <c r="B38" i="97"/>
  <c r="A39" i="97"/>
  <c r="A95" i="97" s="1"/>
  <c r="B39" i="97"/>
  <c r="A40" i="97"/>
  <c r="B40" i="97"/>
  <c r="A41" i="97"/>
  <c r="B41" i="97"/>
  <c r="A42" i="97"/>
  <c r="B42" i="97"/>
  <c r="A43" i="97"/>
  <c r="B43" i="97"/>
  <c r="A52" i="97"/>
  <c r="B52" i="97"/>
  <c r="A53" i="97"/>
  <c r="A97" i="97" s="1"/>
  <c r="B53" i="97"/>
  <c r="A54" i="97"/>
  <c r="B54" i="97"/>
  <c r="A55" i="97"/>
  <c r="B55" i="97"/>
  <c r="A56" i="97"/>
  <c r="B56" i="97"/>
  <c r="B57" i="97"/>
  <c r="A66" i="97"/>
  <c r="B66" i="97"/>
  <c r="A67" i="97"/>
  <c r="B67" i="97"/>
  <c r="B70" i="97" s="1"/>
  <c r="A77" i="97"/>
  <c r="B77" i="97"/>
  <c r="A78" i="97"/>
  <c r="B78" i="97"/>
  <c r="B81" i="97" s="1"/>
  <c r="B79" i="97"/>
  <c r="A89" i="97"/>
  <c r="A93" i="97"/>
  <c r="A94" i="97"/>
  <c r="A96" i="97"/>
  <c r="B99" i="97"/>
  <c r="A107" i="97"/>
  <c r="A88" i="97" s="1"/>
  <c r="B107" i="97"/>
  <c r="B115" i="97" s="1"/>
  <c r="B108" i="97"/>
  <c r="A109" i="97"/>
  <c r="B109" i="97"/>
  <c r="A108" i="97" l="1"/>
  <c r="B59" i="97"/>
  <c r="B45" i="97"/>
  <c r="C111" i="97"/>
  <c r="H97" i="97"/>
  <c r="C92" i="97"/>
  <c r="C89" i="97"/>
  <c r="H79" i="97"/>
  <c r="C77" i="97"/>
  <c r="H24" i="97"/>
  <c r="C22" i="97"/>
  <c r="C20" i="97"/>
  <c r="C18" i="97"/>
  <c r="H110" i="97"/>
  <c r="C97" i="97"/>
  <c r="H94" i="97"/>
  <c r="C79" i="97"/>
  <c r="H66" i="97"/>
  <c r="H56" i="97"/>
  <c r="H54" i="97"/>
  <c r="H52" i="97"/>
  <c r="H28" i="97"/>
  <c r="H26" i="97"/>
  <c r="C24" i="97"/>
  <c r="C108" i="97"/>
  <c r="H91" i="97"/>
  <c r="C56" i="97"/>
  <c r="C52" i="97"/>
  <c r="H40" i="97"/>
  <c r="C28" i="97"/>
  <c r="H113" i="97"/>
  <c r="H109" i="97"/>
  <c r="H107" i="97"/>
  <c r="H115" i="97" s="1"/>
  <c r="H96" i="97"/>
  <c r="C91" i="97"/>
  <c r="C88" i="97"/>
  <c r="H78" i="97"/>
  <c r="C42" i="97"/>
  <c r="C40" i="97"/>
  <c r="C38" i="97"/>
  <c r="H23" i="97"/>
  <c r="H21" i="97"/>
  <c r="H19" i="97"/>
  <c r="H30" i="97" s="1"/>
  <c r="C110" i="97"/>
  <c r="C94" i="97"/>
  <c r="H88" i="97"/>
  <c r="C66" i="97"/>
  <c r="C113" i="97"/>
  <c r="C109" i="97"/>
  <c r="C107" i="97"/>
  <c r="C96" i="97"/>
  <c r="H93" i="97"/>
  <c r="H90" i="97"/>
  <c r="C78" i="97"/>
  <c r="C68" i="97"/>
  <c r="C23" i="97"/>
  <c r="C21" i="97"/>
  <c r="C19" i="97"/>
  <c r="C54" i="97"/>
  <c r="H42" i="97"/>
  <c r="H38" i="97"/>
  <c r="C26" i="97"/>
  <c r="H112" i="97"/>
  <c r="C93" i="97"/>
  <c r="C90" i="97"/>
  <c r="H67" i="97"/>
  <c r="H55" i="97"/>
  <c r="H53" i="97"/>
  <c r="H27" i="97"/>
  <c r="H25" i="97"/>
  <c r="C112" i="97"/>
  <c r="H95" i="97"/>
  <c r="C67" i="97"/>
  <c r="H57" i="97"/>
  <c r="C55" i="97"/>
  <c r="C53" i="97"/>
  <c r="H43" i="97"/>
  <c r="H41" i="97"/>
  <c r="H39" i="97"/>
  <c r="C27" i="97"/>
  <c r="C25" i="97"/>
  <c r="H111" i="97"/>
  <c r="H108" i="97"/>
  <c r="C95" i="97"/>
  <c r="H92" i="97"/>
  <c r="H89" i="97"/>
  <c r="H77" i="97"/>
  <c r="H81" i="97" s="1"/>
  <c r="C57" i="97"/>
  <c r="C43" i="97"/>
  <c r="C41" i="97"/>
  <c r="C39" i="97"/>
  <c r="H22" i="97"/>
  <c r="H20" i="97"/>
  <c r="B19" i="2"/>
  <c r="B18" i="2"/>
  <c r="P4" i="96"/>
  <c r="P3" i="96"/>
  <c r="F2" i="96"/>
  <c r="AW31" i="1"/>
  <c r="F47" i="1"/>
  <c r="F2" i="95"/>
  <c r="H32" i="97" l="1"/>
  <c r="H31" i="97"/>
  <c r="H33" i="97"/>
  <c r="C81" i="97"/>
  <c r="C45" i="97"/>
  <c r="H82" i="97"/>
  <c r="H83" i="97"/>
  <c r="C70" i="97"/>
  <c r="H99" i="97"/>
  <c r="H45" i="97"/>
  <c r="H59" i="97"/>
  <c r="C30" i="97"/>
  <c r="C99" i="97"/>
  <c r="C59" i="97"/>
  <c r="H116" i="97"/>
  <c r="H117" i="97"/>
  <c r="C115" i="97"/>
  <c r="H70" i="97"/>
  <c r="F2" i="94"/>
  <c r="F2" i="93"/>
  <c r="K61" i="41"/>
  <c r="K60" i="41"/>
  <c r="K59" i="41"/>
  <c r="K58" i="41"/>
  <c r="K53" i="41"/>
  <c r="K52" i="41"/>
  <c r="K51" i="41"/>
  <c r="K50" i="41"/>
  <c r="K49" i="41"/>
  <c r="K48" i="41"/>
  <c r="K33" i="41"/>
  <c r="K34" i="41"/>
  <c r="K35" i="41"/>
  <c r="K36" i="41"/>
  <c r="K37" i="41"/>
  <c r="K38" i="41"/>
  <c r="K32" i="41"/>
  <c r="E22" i="40"/>
  <c r="D22" i="40"/>
  <c r="K22" i="41"/>
  <c r="K16" i="41"/>
  <c r="K17" i="41"/>
  <c r="K18" i="41"/>
  <c r="K19" i="41"/>
  <c r="K20" i="41"/>
  <c r="K21" i="41"/>
  <c r="K23" i="41"/>
  <c r="K24" i="41"/>
  <c r="K25" i="41"/>
  <c r="K26" i="41"/>
  <c r="K27" i="41"/>
  <c r="K15" i="41"/>
  <c r="K43" i="41"/>
  <c r="K42" i="41"/>
  <c r="K5" i="41"/>
  <c r="K7" i="41"/>
  <c r="K8" i="41"/>
  <c r="K9" i="41"/>
  <c r="K6" i="41"/>
  <c r="H100" i="97" l="1"/>
  <c r="H101" i="97"/>
  <c r="H123" i="97"/>
  <c r="H84" i="97"/>
  <c r="H85" i="97"/>
  <c r="C60" i="97"/>
  <c r="C61" i="97"/>
  <c r="C63" i="97" s="1"/>
  <c r="C116" i="97"/>
  <c r="C117" i="97"/>
  <c r="C72" i="97"/>
  <c r="C74" i="97" s="1"/>
  <c r="C71" i="97"/>
  <c r="B121" i="97"/>
  <c r="C101" i="97"/>
  <c r="C100" i="97"/>
  <c r="C46" i="97"/>
  <c r="C47" i="97"/>
  <c r="C49" i="97" s="1"/>
  <c r="H61" i="97"/>
  <c r="H63" i="97" s="1"/>
  <c r="H60" i="97"/>
  <c r="H35" i="97"/>
  <c r="H125" i="97"/>
  <c r="C123" i="97"/>
  <c r="C31" i="97"/>
  <c r="C32" i="97"/>
  <c r="C33" i="97"/>
  <c r="C82" i="97"/>
  <c r="C83" i="97"/>
  <c r="H71" i="97"/>
  <c r="H72" i="97"/>
  <c r="H74" i="97" s="1"/>
  <c r="H47" i="97"/>
  <c r="H49" i="97" s="1"/>
  <c r="H46" i="97"/>
  <c r="H124" i="97" s="1"/>
  <c r="L23" i="92"/>
  <c r="L22" i="92"/>
  <c r="L21" i="92"/>
  <c r="F24" i="92"/>
  <c r="F23" i="92"/>
  <c r="F22" i="92"/>
  <c r="F21" i="92"/>
  <c r="L16" i="92"/>
  <c r="L15" i="92"/>
  <c r="L12" i="92"/>
  <c r="L11" i="92"/>
  <c r="L10" i="92"/>
  <c r="L9" i="92"/>
  <c r="L8" i="92"/>
  <c r="L7" i="92"/>
  <c r="L6" i="92"/>
  <c r="F15" i="92"/>
  <c r="F14" i="92"/>
  <c r="F13" i="92"/>
  <c r="F12" i="92"/>
  <c r="F11" i="92"/>
  <c r="F10" i="92"/>
  <c r="F9" i="92"/>
  <c r="F8" i="92"/>
  <c r="F7" i="92"/>
  <c r="I64" i="92" s="1"/>
  <c r="F6" i="92"/>
  <c r="C3" i="92"/>
  <c r="I65" i="92" s="1"/>
  <c r="C2" i="92"/>
  <c r="G36" i="92" s="1"/>
  <c r="G55" i="92"/>
  <c r="F55" i="92"/>
  <c r="G54" i="92"/>
  <c r="F54" i="92"/>
  <c r="G53" i="92"/>
  <c r="F53" i="92"/>
  <c r="G52" i="92"/>
  <c r="F52" i="92"/>
  <c r="G51" i="92"/>
  <c r="F51" i="92"/>
  <c r="G50" i="92"/>
  <c r="F50" i="92"/>
  <c r="G49" i="92"/>
  <c r="F49" i="92"/>
  <c r="G48" i="92"/>
  <c r="F48" i="92"/>
  <c r="G47" i="92"/>
  <c r="F47" i="92"/>
  <c r="G46" i="92"/>
  <c r="F46" i="92"/>
  <c r="G45" i="92"/>
  <c r="F45" i="92"/>
  <c r="G44" i="92"/>
  <c r="F44" i="92"/>
  <c r="G43" i="92"/>
  <c r="F43" i="92"/>
  <c r="G42" i="92"/>
  <c r="F42" i="92"/>
  <c r="G41" i="92"/>
  <c r="F41" i="92"/>
  <c r="G40" i="92"/>
  <c r="F40" i="92"/>
  <c r="G39" i="92"/>
  <c r="F39" i="92"/>
  <c r="G38" i="92"/>
  <c r="F38" i="92"/>
  <c r="L23" i="91"/>
  <c r="L22" i="91"/>
  <c r="L21" i="91"/>
  <c r="F24" i="91"/>
  <c r="F23" i="91"/>
  <c r="F22" i="91"/>
  <c r="F21" i="91"/>
  <c r="L18" i="91"/>
  <c r="L17" i="91"/>
  <c r="L16" i="91"/>
  <c r="L15" i="91"/>
  <c r="L14" i="91"/>
  <c r="L13" i="91"/>
  <c r="L12" i="91"/>
  <c r="L11" i="91"/>
  <c r="L10" i="91"/>
  <c r="L9" i="91"/>
  <c r="L8" i="91"/>
  <c r="L7" i="91"/>
  <c r="L6" i="91"/>
  <c r="F15" i="91"/>
  <c r="F14" i="91"/>
  <c r="F13" i="91"/>
  <c r="F12" i="91"/>
  <c r="F11" i="91"/>
  <c r="F10" i="91"/>
  <c r="F9" i="91"/>
  <c r="F8" i="91"/>
  <c r="F7" i="91"/>
  <c r="F6" i="91"/>
  <c r="C3" i="91"/>
  <c r="I65" i="91" s="1"/>
  <c r="C2" i="91"/>
  <c r="I63" i="91" s="1"/>
  <c r="G55" i="91"/>
  <c r="F55" i="91"/>
  <c r="G54" i="91"/>
  <c r="F54" i="91"/>
  <c r="G53" i="91"/>
  <c r="F53" i="91"/>
  <c r="G52" i="91"/>
  <c r="F52" i="91"/>
  <c r="G51" i="91"/>
  <c r="F51" i="91"/>
  <c r="G50" i="91"/>
  <c r="F50" i="91"/>
  <c r="G49" i="91"/>
  <c r="F49" i="91"/>
  <c r="G48" i="91"/>
  <c r="F48" i="91"/>
  <c r="G47" i="91"/>
  <c r="F47" i="91"/>
  <c r="G46" i="91"/>
  <c r="F46" i="91"/>
  <c r="G45" i="91"/>
  <c r="F45" i="91"/>
  <c r="G44" i="91"/>
  <c r="F44" i="91"/>
  <c r="G43" i="91"/>
  <c r="F43" i="91"/>
  <c r="G42" i="91"/>
  <c r="F42" i="91"/>
  <c r="G41" i="91"/>
  <c r="F41" i="91"/>
  <c r="G40" i="91"/>
  <c r="F40" i="91"/>
  <c r="G39" i="91"/>
  <c r="F39" i="91"/>
  <c r="G38" i="91"/>
  <c r="F38" i="91"/>
  <c r="I64" i="91"/>
  <c r="L23" i="90"/>
  <c r="L22" i="90"/>
  <c r="L21" i="90"/>
  <c r="F24" i="90"/>
  <c r="F23" i="90"/>
  <c r="F22" i="90"/>
  <c r="F21" i="90"/>
  <c r="L18" i="90"/>
  <c r="L17" i="90"/>
  <c r="L16" i="90"/>
  <c r="L15" i="90"/>
  <c r="L14" i="90"/>
  <c r="L13" i="90"/>
  <c r="L12" i="90"/>
  <c r="L11" i="90"/>
  <c r="L10" i="90"/>
  <c r="L9" i="90"/>
  <c r="L8" i="90"/>
  <c r="L7" i="90"/>
  <c r="L6" i="90"/>
  <c r="F15" i="90"/>
  <c r="F14" i="90"/>
  <c r="F13" i="90"/>
  <c r="F12" i="90"/>
  <c r="F11" i="90"/>
  <c r="F10" i="90"/>
  <c r="F9" i="90"/>
  <c r="F8" i="90"/>
  <c r="F7" i="90"/>
  <c r="I64" i="90" s="1"/>
  <c r="F6" i="90"/>
  <c r="C3" i="90"/>
  <c r="I65" i="90" s="1"/>
  <c r="C2" i="90"/>
  <c r="I63" i="90" s="1"/>
  <c r="G55" i="90"/>
  <c r="F55" i="90"/>
  <c r="G54" i="90"/>
  <c r="F54" i="90"/>
  <c r="G53" i="90"/>
  <c r="F53" i="90"/>
  <c r="G52" i="90"/>
  <c r="F52" i="90"/>
  <c r="G51" i="90"/>
  <c r="F51" i="90"/>
  <c r="G50" i="90"/>
  <c r="F50" i="90"/>
  <c r="G49" i="90"/>
  <c r="F49" i="90"/>
  <c r="G48" i="90"/>
  <c r="F48" i="90"/>
  <c r="G47" i="90"/>
  <c r="F47" i="90"/>
  <c r="G46" i="90"/>
  <c r="F46" i="90"/>
  <c r="G45" i="90"/>
  <c r="F45" i="90"/>
  <c r="G44" i="90"/>
  <c r="F44" i="90"/>
  <c r="G43" i="90"/>
  <c r="F43" i="90"/>
  <c r="G42" i="90"/>
  <c r="F42" i="90"/>
  <c r="G41" i="90"/>
  <c r="F41" i="90"/>
  <c r="G40" i="90"/>
  <c r="F40" i="90"/>
  <c r="G39" i="90"/>
  <c r="F39" i="90"/>
  <c r="G38" i="90"/>
  <c r="F38" i="90"/>
  <c r="L23" i="89"/>
  <c r="L22" i="89"/>
  <c r="L21" i="89"/>
  <c r="L18" i="89"/>
  <c r="L16" i="89"/>
  <c r="L12" i="89"/>
  <c r="L11" i="89"/>
  <c r="L10" i="89"/>
  <c r="L9" i="89"/>
  <c r="L8" i="89"/>
  <c r="L7" i="89"/>
  <c r="L6" i="89"/>
  <c r="F24" i="89"/>
  <c r="F23" i="89"/>
  <c r="F22" i="89"/>
  <c r="F21" i="89"/>
  <c r="F15" i="89"/>
  <c r="F14" i="89"/>
  <c r="F13" i="89"/>
  <c r="F12" i="89"/>
  <c r="F11" i="89"/>
  <c r="F10" i="89"/>
  <c r="F9" i="89"/>
  <c r="F8" i="89"/>
  <c r="F7" i="89"/>
  <c r="I64" i="89" s="1"/>
  <c r="F6" i="89"/>
  <c r="C3" i="89"/>
  <c r="I65" i="89" s="1"/>
  <c r="C2" i="89"/>
  <c r="I63" i="89" s="1"/>
  <c r="G55" i="89"/>
  <c r="F55" i="89"/>
  <c r="G54" i="89"/>
  <c r="F54" i="89"/>
  <c r="G53" i="89"/>
  <c r="F53" i="89"/>
  <c r="G52" i="89"/>
  <c r="F52" i="89"/>
  <c r="G51" i="89"/>
  <c r="F51" i="89"/>
  <c r="G50" i="89"/>
  <c r="F50" i="89"/>
  <c r="G49" i="89"/>
  <c r="F49" i="89"/>
  <c r="G48" i="89"/>
  <c r="F48" i="89"/>
  <c r="G47" i="89"/>
  <c r="F47" i="89"/>
  <c r="G46" i="89"/>
  <c r="F46" i="89"/>
  <c r="G45" i="89"/>
  <c r="F45" i="89"/>
  <c r="G44" i="89"/>
  <c r="F44" i="89"/>
  <c r="G43" i="89"/>
  <c r="F43" i="89"/>
  <c r="G42" i="89"/>
  <c r="F42" i="89"/>
  <c r="G41" i="89"/>
  <c r="F41" i="89"/>
  <c r="G40" i="89"/>
  <c r="F40" i="89"/>
  <c r="G39" i="89"/>
  <c r="F39" i="89"/>
  <c r="G38" i="89"/>
  <c r="F38" i="89"/>
  <c r="L22" i="88"/>
  <c r="L21" i="88"/>
  <c r="F24" i="88"/>
  <c r="F23" i="88"/>
  <c r="F22" i="88"/>
  <c r="F21" i="88"/>
  <c r="L12" i="88"/>
  <c r="L11" i="88"/>
  <c r="L10" i="88"/>
  <c r="L9" i="88"/>
  <c r="L8" i="88"/>
  <c r="L7" i="88"/>
  <c r="L6" i="88"/>
  <c r="F15" i="88"/>
  <c r="F14" i="88"/>
  <c r="F13" i="88"/>
  <c r="F12" i="88"/>
  <c r="F11" i="88"/>
  <c r="F10" i="88"/>
  <c r="F9" i="88"/>
  <c r="F8" i="88"/>
  <c r="F7" i="88"/>
  <c r="I64" i="88" s="1"/>
  <c r="F6" i="88"/>
  <c r="C3" i="88"/>
  <c r="I65" i="88" s="1"/>
  <c r="C2" i="88"/>
  <c r="G36" i="88" s="1"/>
  <c r="G55" i="88"/>
  <c r="F55" i="88"/>
  <c r="G54" i="88"/>
  <c r="F54" i="88"/>
  <c r="G53" i="88"/>
  <c r="F53" i="88"/>
  <c r="G52" i="88"/>
  <c r="F52" i="88"/>
  <c r="G51" i="88"/>
  <c r="F51" i="88"/>
  <c r="G50" i="88"/>
  <c r="F50" i="88"/>
  <c r="G49" i="88"/>
  <c r="F49" i="88"/>
  <c r="G48" i="88"/>
  <c r="F48" i="88"/>
  <c r="G47" i="88"/>
  <c r="F47" i="88"/>
  <c r="G46" i="88"/>
  <c r="F46" i="88"/>
  <c r="G45" i="88"/>
  <c r="F45" i="88"/>
  <c r="G44" i="88"/>
  <c r="F44" i="88"/>
  <c r="G43" i="88"/>
  <c r="F43" i="88"/>
  <c r="G42" i="88"/>
  <c r="F42" i="88"/>
  <c r="G41" i="88"/>
  <c r="F41" i="88"/>
  <c r="G40" i="88"/>
  <c r="F40" i="88"/>
  <c r="G39" i="88"/>
  <c r="F39" i="88"/>
  <c r="G38" i="88"/>
  <c r="F38" i="88"/>
  <c r="L22" i="87"/>
  <c r="L21" i="87"/>
  <c r="F24" i="87"/>
  <c r="F23" i="87"/>
  <c r="F22" i="87"/>
  <c r="F21" i="87"/>
  <c r="L16" i="87"/>
  <c r="L15" i="87"/>
  <c r="L12" i="87"/>
  <c r="L11" i="87"/>
  <c r="L10" i="87"/>
  <c r="L9" i="87"/>
  <c r="L8" i="87"/>
  <c r="L7" i="87"/>
  <c r="L6" i="87"/>
  <c r="F15" i="87"/>
  <c r="F14" i="87"/>
  <c r="F13" i="87"/>
  <c r="F12" i="87"/>
  <c r="F11" i="87"/>
  <c r="F10" i="87"/>
  <c r="F9" i="87"/>
  <c r="F8" i="87"/>
  <c r="F7" i="87"/>
  <c r="F6" i="87"/>
  <c r="C3" i="87"/>
  <c r="I65" i="87" s="1"/>
  <c r="C2" i="87"/>
  <c r="I63" i="87" s="1"/>
  <c r="G55" i="87"/>
  <c r="F55" i="87"/>
  <c r="G54" i="87"/>
  <c r="F54" i="87"/>
  <c r="G53" i="87"/>
  <c r="F53" i="87"/>
  <c r="G52" i="87"/>
  <c r="F52" i="87"/>
  <c r="G51" i="87"/>
  <c r="F51" i="87"/>
  <c r="G50" i="87"/>
  <c r="F50" i="87"/>
  <c r="G49" i="87"/>
  <c r="F49" i="87"/>
  <c r="G48" i="87"/>
  <c r="F48" i="87"/>
  <c r="G47" i="87"/>
  <c r="F47" i="87"/>
  <c r="G46" i="87"/>
  <c r="F46" i="87"/>
  <c r="G45" i="87"/>
  <c r="F45" i="87"/>
  <c r="G44" i="87"/>
  <c r="F44" i="87"/>
  <c r="G43" i="87"/>
  <c r="F43" i="87"/>
  <c r="G42" i="87"/>
  <c r="F42" i="87"/>
  <c r="G41" i="87"/>
  <c r="F41" i="87"/>
  <c r="G40" i="87"/>
  <c r="F40" i="87"/>
  <c r="G39" i="87"/>
  <c r="F39" i="87"/>
  <c r="G38" i="87"/>
  <c r="F38" i="87"/>
  <c r="I64" i="87"/>
  <c r="L23" i="86"/>
  <c r="L22" i="86"/>
  <c r="L21" i="86"/>
  <c r="F21" i="86"/>
  <c r="F24" i="86"/>
  <c r="F23" i="86"/>
  <c r="F22" i="86"/>
  <c r="L16" i="86"/>
  <c r="L15" i="86"/>
  <c r="L14" i="86"/>
  <c r="L13" i="86"/>
  <c r="L12" i="86"/>
  <c r="L11" i="86"/>
  <c r="L9" i="86"/>
  <c r="L8" i="86"/>
  <c r="L7" i="86"/>
  <c r="L6" i="86"/>
  <c r="F15" i="86"/>
  <c r="F14" i="86"/>
  <c r="F13" i="86"/>
  <c r="F12" i="86"/>
  <c r="F11" i="86"/>
  <c r="F10" i="86"/>
  <c r="F9" i="86"/>
  <c r="F8" i="86"/>
  <c r="F7" i="86"/>
  <c r="I64" i="86" s="1"/>
  <c r="F6" i="86"/>
  <c r="C3" i="86"/>
  <c r="I65" i="86" s="1"/>
  <c r="C2" i="86"/>
  <c r="I63" i="86" s="1"/>
  <c r="F47" i="86"/>
  <c r="G55" i="86"/>
  <c r="F55" i="86"/>
  <c r="G54" i="86"/>
  <c r="F54" i="86"/>
  <c r="G53" i="86"/>
  <c r="F53" i="86"/>
  <c r="G52" i="86"/>
  <c r="F52" i="86"/>
  <c r="G51" i="86"/>
  <c r="F51" i="86"/>
  <c r="G50" i="86"/>
  <c r="F50" i="86"/>
  <c r="G49" i="86"/>
  <c r="F49" i="86"/>
  <c r="G48" i="86"/>
  <c r="F48" i="86"/>
  <c r="G47" i="86"/>
  <c r="G46" i="86"/>
  <c r="F46" i="86"/>
  <c r="G45" i="86"/>
  <c r="F45" i="86"/>
  <c r="G44" i="86"/>
  <c r="F44" i="86"/>
  <c r="G43" i="86"/>
  <c r="F43" i="86"/>
  <c r="G42" i="86"/>
  <c r="F42" i="86"/>
  <c r="G41" i="86"/>
  <c r="F41" i="86"/>
  <c r="G40" i="86"/>
  <c r="F40" i="86"/>
  <c r="G39" i="86"/>
  <c r="F39" i="86"/>
  <c r="G38" i="86"/>
  <c r="F38" i="86"/>
  <c r="I235" i="85"/>
  <c r="F48" i="85" s="1"/>
  <c r="I225" i="85"/>
  <c r="F47" i="85" s="1"/>
  <c r="L22" i="85"/>
  <c r="L21" i="85"/>
  <c r="F24" i="85"/>
  <c r="F23" i="85"/>
  <c r="F22" i="85"/>
  <c r="F21" i="85"/>
  <c r="L18" i="85"/>
  <c r="L16" i="85"/>
  <c r="L15" i="85"/>
  <c r="L12" i="85"/>
  <c r="L11" i="85"/>
  <c r="L10" i="85"/>
  <c r="L9" i="85"/>
  <c r="L8" i="85"/>
  <c r="L7" i="85"/>
  <c r="L6" i="85"/>
  <c r="F15" i="85"/>
  <c r="F14" i="85"/>
  <c r="F13" i="85"/>
  <c r="F12" i="85"/>
  <c r="F11" i="85"/>
  <c r="F10" i="85"/>
  <c r="F9" i="85"/>
  <c r="F8" i="85"/>
  <c r="F7" i="85"/>
  <c r="I64" i="85" s="1"/>
  <c r="F6" i="85"/>
  <c r="C3" i="85"/>
  <c r="I65" i="85" s="1"/>
  <c r="C2" i="85"/>
  <c r="I63" i="85" s="1"/>
  <c r="G55" i="85"/>
  <c r="F55" i="85"/>
  <c r="G54" i="85"/>
  <c r="F54" i="85"/>
  <c r="G53" i="85"/>
  <c r="F53" i="85"/>
  <c r="G52" i="85"/>
  <c r="F52" i="85"/>
  <c r="G51" i="85"/>
  <c r="F51" i="85"/>
  <c r="G50" i="85"/>
  <c r="F50" i="85"/>
  <c r="G49" i="85"/>
  <c r="F49" i="85"/>
  <c r="G48" i="85"/>
  <c r="G47" i="85"/>
  <c r="G46" i="85"/>
  <c r="F46" i="85"/>
  <c r="G45" i="85"/>
  <c r="F45" i="85"/>
  <c r="G44" i="85"/>
  <c r="F44" i="85"/>
  <c r="G43" i="85"/>
  <c r="F43" i="85"/>
  <c r="G42" i="85"/>
  <c r="F42" i="85"/>
  <c r="G41" i="85"/>
  <c r="F41" i="85"/>
  <c r="G40" i="85"/>
  <c r="F40" i="85"/>
  <c r="G39" i="85"/>
  <c r="F39" i="85"/>
  <c r="G38" i="85"/>
  <c r="F38" i="85"/>
  <c r="L22" i="84"/>
  <c r="L21" i="84"/>
  <c r="F24" i="84"/>
  <c r="F23" i="84"/>
  <c r="F22" i="84"/>
  <c r="F21" i="84"/>
  <c r="L16" i="84"/>
  <c r="L12" i="84"/>
  <c r="L11" i="84"/>
  <c r="L10" i="84"/>
  <c r="L9" i="84"/>
  <c r="L8" i="84"/>
  <c r="L7" i="84"/>
  <c r="L6" i="84"/>
  <c r="F15" i="84"/>
  <c r="F14" i="84"/>
  <c r="F13" i="84"/>
  <c r="F12" i="84"/>
  <c r="F11" i="84"/>
  <c r="F10" i="84"/>
  <c r="F9" i="84"/>
  <c r="F8" i="84"/>
  <c r="F7" i="84"/>
  <c r="F6" i="84"/>
  <c r="C3" i="84"/>
  <c r="I65" i="84" s="1"/>
  <c r="C2" i="84"/>
  <c r="I63" i="84" s="1"/>
  <c r="G55" i="84"/>
  <c r="F55" i="84"/>
  <c r="G54" i="84"/>
  <c r="F54" i="84"/>
  <c r="G53" i="84"/>
  <c r="F53" i="84"/>
  <c r="G52" i="84"/>
  <c r="F52" i="84"/>
  <c r="G51" i="84"/>
  <c r="F51" i="84"/>
  <c r="G50" i="84"/>
  <c r="F50" i="84"/>
  <c r="G49" i="84"/>
  <c r="F49" i="84"/>
  <c r="G48" i="84"/>
  <c r="F48" i="84"/>
  <c r="G47" i="84"/>
  <c r="F47" i="84"/>
  <c r="G46" i="84"/>
  <c r="F46" i="84"/>
  <c r="G45" i="84"/>
  <c r="F45" i="84"/>
  <c r="G44" i="84"/>
  <c r="F44" i="84"/>
  <c r="G43" i="84"/>
  <c r="F43" i="84"/>
  <c r="G42" i="84"/>
  <c r="F42" i="84"/>
  <c r="G41" i="84"/>
  <c r="F41" i="84"/>
  <c r="G40" i="84"/>
  <c r="F40" i="84"/>
  <c r="G39" i="84"/>
  <c r="F39" i="84"/>
  <c r="G38" i="84"/>
  <c r="F38" i="84"/>
  <c r="I64" i="84"/>
  <c r="L22" i="83"/>
  <c r="L21" i="83"/>
  <c r="F24" i="83"/>
  <c r="F23" i="83"/>
  <c r="F22" i="83"/>
  <c r="F21" i="83"/>
  <c r="L18" i="83"/>
  <c r="L16" i="83"/>
  <c r="L15" i="83"/>
  <c r="L12" i="83"/>
  <c r="L11" i="83"/>
  <c r="L10" i="83"/>
  <c r="L9" i="83"/>
  <c r="L8" i="83"/>
  <c r="L7" i="83"/>
  <c r="L6" i="83"/>
  <c r="F15" i="83"/>
  <c r="F14" i="83"/>
  <c r="F13" i="83"/>
  <c r="F12" i="83"/>
  <c r="F11" i="83"/>
  <c r="F10" i="83"/>
  <c r="F9" i="83"/>
  <c r="F8" i="83"/>
  <c r="F7" i="83"/>
  <c r="I64" i="83" s="1"/>
  <c r="F6" i="83"/>
  <c r="C3" i="83"/>
  <c r="I65" i="83" s="1"/>
  <c r="C2" i="83"/>
  <c r="I63" i="83" s="1"/>
  <c r="G55" i="83"/>
  <c r="F55" i="83"/>
  <c r="G54" i="83"/>
  <c r="F54" i="83"/>
  <c r="G53" i="83"/>
  <c r="F53" i="83"/>
  <c r="G52" i="83"/>
  <c r="F52" i="83"/>
  <c r="G51" i="83"/>
  <c r="F51" i="83"/>
  <c r="G50" i="83"/>
  <c r="F50" i="83"/>
  <c r="G49" i="83"/>
  <c r="F49" i="83"/>
  <c r="G48" i="83"/>
  <c r="F48" i="83"/>
  <c r="G47" i="83"/>
  <c r="F47" i="83"/>
  <c r="G46" i="83"/>
  <c r="F46" i="83"/>
  <c r="G45" i="83"/>
  <c r="F45" i="83"/>
  <c r="G44" i="83"/>
  <c r="F44" i="83"/>
  <c r="G43" i="83"/>
  <c r="F43" i="83"/>
  <c r="G42" i="83"/>
  <c r="F42" i="83"/>
  <c r="G41" i="83"/>
  <c r="F41" i="83"/>
  <c r="G40" i="83"/>
  <c r="F40" i="83"/>
  <c r="G39" i="83"/>
  <c r="F39" i="83"/>
  <c r="G38" i="83"/>
  <c r="F38" i="83"/>
  <c r="F24" i="82"/>
  <c r="F23" i="82"/>
  <c r="F22" i="82"/>
  <c r="F21" i="82"/>
  <c r="L18" i="82"/>
  <c r="L16" i="82"/>
  <c r="L12" i="82"/>
  <c r="L11" i="82"/>
  <c r="L10" i="82"/>
  <c r="L9" i="82"/>
  <c r="L8" i="82"/>
  <c r="L7" i="82"/>
  <c r="L6" i="82"/>
  <c r="F15" i="82"/>
  <c r="F14" i="82"/>
  <c r="F13" i="82"/>
  <c r="F12" i="82"/>
  <c r="F11" i="82"/>
  <c r="F10" i="82"/>
  <c r="F9" i="82"/>
  <c r="F8" i="82"/>
  <c r="F7" i="82"/>
  <c r="I64" i="82" s="1"/>
  <c r="F6" i="82"/>
  <c r="L23" i="82"/>
  <c r="L22" i="82"/>
  <c r="L21" i="82"/>
  <c r="C3" i="82"/>
  <c r="I65" i="82" s="1"/>
  <c r="C2" i="82"/>
  <c r="G36" i="82" s="1"/>
  <c r="G55" i="82"/>
  <c r="F55" i="82"/>
  <c r="G54" i="82"/>
  <c r="F54" i="82"/>
  <c r="G53" i="82"/>
  <c r="F53" i="82"/>
  <c r="G52" i="82"/>
  <c r="F52" i="82"/>
  <c r="G51" i="82"/>
  <c r="F51" i="82"/>
  <c r="G50" i="82"/>
  <c r="F50" i="82"/>
  <c r="G49" i="82"/>
  <c r="F49" i="82"/>
  <c r="G48" i="82"/>
  <c r="F48" i="82"/>
  <c r="G47" i="82"/>
  <c r="F47" i="82"/>
  <c r="G46" i="82"/>
  <c r="F46" i="82"/>
  <c r="G45" i="82"/>
  <c r="F45" i="82"/>
  <c r="G44" i="82"/>
  <c r="F44" i="82"/>
  <c r="G43" i="82"/>
  <c r="F43" i="82"/>
  <c r="G42" i="82"/>
  <c r="F42" i="82"/>
  <c r="G41" i="82"/>
  <c r="F41" i="82"/>
  <c r="G40" i="82"/>
  <c r="F40" i="82"/>
  <c r="G39" i="82"/>
  <c r="F39" i="82"/>
  <c r="G38" i="82"/>
  <c r="F38" i="82"/>
  <c r="C103" i="97" l="1"/>
  <c r="C118" i="97"/>
  <c r="C84" i="97"/>
  <c r="C126" i="97" s="1"/>
  <c r="H126" i="97"/>
  <c r="H127" i="97" s="1"/>
  <c r="C35" i="97"/>
  <c r="C125" i="97"/>
  <c r="C127" i="97" s="1"/>
  <c r="H103" i="97"/>
  <c r="H118" i="97"/>
  <c r="H119" i="97" s="1"/>
  <c r="C124" i="97"/>
  <c r="C119" i="97"/>
  <c r="I63" i="92"/>
  <c r="G36" i="91"/>
  <c r="G36" i="90"/>
  <c r="G36" i="89"/>
  <c r="I63" i="88"/>
  <c r="G36" i="87"/>
  <c r="G36" i="86"/>
  <c r="G36" i="85"/>
  <c r="G36" i="84"/>
  <c r="G36" i="83"/>
  <c r="I63" i="82"/>
  <c r="C85" i="97" l="1"/>
  <c r="L22" i="81"/>
  <c r="L21" i="81"/>
  <c r="F24" i="81"/>
  <c r="F23" i="81"/>
  <c r="F22" i="81"/>
  <c r="F21" i="81"/>
  <c r="L18" i="81"/>
  <c r="L12" i="81"/>
  <c r="L11" i="81"/>
  <c r="L9" i="81"/>
  <c r="L8" i="81"/>
  <c r="L7" i="81"/>
  <c r="L6" i="81"/>
  <c r="F15" i="81"/>
  <c r="F14" i="81"/>
  <c r="F13" i="81"/>
  <c r="F12" i="81"/>
  <c r="F11" i="81"/>
  <c r="F10" i="81"/>
  <c r="F9" i="81"/>
  <c r="F8" i="81"/>
  <c r="F7" i="81"/>
  <c r="I64" i="81" s="1"/>
  <c r="F6" i="81"/>
  <c r="C3" i="81"/>
  <c r="I65" i="81" s="1"/>
  <c r="C2" i="81"/>
  <c r="G36" i="81" s="1"/>
  <c r="G55" i="81"/>
  <c r="F55" i="81"/>
  <c r="G54" i="81"/>
  <c r="F54" i="81"/>
  <c r="G53" i="81"/>
  <c r="F53" i="81"/>
  <c r="G52" i="81"/>
  <c r="F52" i="81"/>
  <c r="G51" i="81"/>
  <c r="F51" i="81"/>
  <c r="G50" i="81"/>
  <c r="F50" i="81"/>
  <c r="G49" i="81"/>
  <c r="F49" i="81"/>
  <c r="G48" i="81"/>
  <c r="F48" i="81"/>
  <c r="G47" i="81"/>
  <c r="F47" i="81"/>
  <c r="G46" i="81"/>
  <c r="F46" i="81"/>
  <c r="G45" i="81"/>
  <c r="F45" i="81"/>
  <c r="G44" i="81"/>
  <c r="F44" i="81"/>
  <c r="G43" i="81"/>
  <c r="F43" i="81"/>
  <c r="G42" i="81"/>
  <c r="F42" i="81"/>
  <c r="G41" i="81"/>
  <c r="F41" i="81"/>
  <c r="G40" i="81"/>
  <c r="F40" i="81"/>
  <c r="G39" i="81"/>
  <c r="F39" i="81"/>
  <c r="G38" i="81"/>
  <c r="F38" i="81"/>
  <c r="G54" i="80"/>
  <c r="F54" i="80"/>
  <c r="G53" i="80"/>
  <c r="F53" i="80"/>
  <c r="L23" i="80"/>
  <c r="L22" i="80"/>
  <c r="L21" i="80"/>
  <c r="F24" i="80"/>
  <c r="F23" i="80"/>
  <c r="F22" i="80"/>
  <c r="F21" i="80"/>
  <c r="L16" i="80"/>
  <c r="L15" i="80"/>
  <c r="L12" i="80"/>
  <c r="L11" i="80"/>
  <c r="L10" i="80"/>
  <c r="L9" i="80"/>
  <c r="L8" i="80"/>
  <c r="L7" i="80"/>
  <c r="L6" i="80"/>
  <c r="F15" i="80"/>
  <c r="F14" i="80"/>
  <c r="F13" i="80"/>
  <c r="F12" i="80"/>
  <c r="F11" i="80"/>
  <c r="F10" i="80"/>
  <c r="F9" i="80"/>
  <c r="F8" i="80"/>
  <c r="F7" i="80"/>
  <c r="I64" i="80" s="1"/>
  <c r="F6" i="80"/>
  <c r="C3" i="80"/>
  <c r="I65" i="80" s="1"/>
  <c r="C2" i="80"/>
  <c r="I63" i="80" s="1"/>
  <c r="G55" i="80"/>
  <c r="F55" i="80"/>
  <c r="G52" i="80"/>
  <c r="F52" i="80"/>
  <c r="G51" i="80"/>
  <c r="F51" i="80"/>
  <c r="G50" i="80"/>
  <c r="F50" i="80"/>
  <c r="G49" i="80"/>
  <c r="F49" i="80"/>
  <c r="G48" i="80"/>
  <c r="F48" i="80"/>
  <c r="G47" i="80"/>
  <c r="F47" i="80"/>
  <c r="G46" i="80"/>
  <c r="F46" i="80"/>
  <c r="G45" i="80"/>
  <c r="F45" i="80"/>
  <c r="G44" i="80"/>
  <c r="F44" i="80"/>
  <c r="G43" i="80"/>
  <c r="F43" i="80"/>
  <c r="G42" i="80"/>
  <c r="F42" i="80"/>
  <c r="G41" i="80"/>
  <c r="F41" i="80"/>
  <c r="G40" i="80"/>
  <c r="F40" i="80"/>
  <c r="G39" i="80"/>
  <c r="F39" i="80"/>
  <c r="G38" i="80"/>
  <c r="F38" i="80"/>
  <c r="G55" i="79"/>
  <c r="F55" i="79"/>
  <c r="G54" i="79"/>
  <c r="F54" i="79"/>
  <c r="G53" i="79"/>
  <c r="F53" i="79"/>
  <c r="F51" i="79"/>
  <c r="G50" i="79"/>
  <c r="G48" i="79"/>
  <c r="F46" i="79"/>
  <c r="F47" i="79"/>
  <c r="G44" i="79"/>
  <c r="F42" i="79"/>
  <c r="F40" i="79"/>
  <c r="G39" i="79"/>
  <c r="G52" i="79"/>
  <c r="G46" i="79"/>
  <c r="G42" i="79"/>
  <c r="G40" i="79"/>
  <c r="G38" i="79"/>
  <c r="L23" i="79"/>
  <c r="L22" i="79"/>
  <c r="L21" i="79"/>
  <c r="F24" i="79"/>
  <c r="F23" i="79"/>
  <c r="F22" i="79"/>
  <c r="F21" i="79"/>
  <c r="L16" i="79"/>
  <c r="L15" i="79"/>
  <c r="L12" i="79"/>
  <c r="L11" i="79"/>
  <c r="L9" i="79"/>
  <c r="L8" i="79"/>
  <c r="L7" i="79"/>
  <c r="L6" i="79"/>
  <c r="F15" i="79"/>
  <c r="F14" i="79"/>
  <c r="F13" i="79"/>
  <c r="F12" i="79"/>
  <c r="F11" i="79"/>
  <c r="F10" i="79"/>
  <c r="F9" i="79"/>
  <c r="F8" i="79"/>
  <c r="F7" i="79"/>
  <c r="I64" i="79" s="1"/>
  <c r="F6" i="79"/>
  <c r="C3" i="79"/>
  <c r="I65" i="79" s="1"/>
  <c r="C2" i="79"/>
  <c r="I63" i="79" s="1"/>
  <c r="F52" i="79"/>
  <c r="G51" i="79"/>
  <c r="F50" i="79"/>
  <c r="G49" i="79"/>
  <c r="F49" i="79"/>
  <c r="F48" i="79"/>
  <c r="G47" i="79"/>
  <c r="G45" i="79"/>
  <c r="F45" i="79"/>
  <c r="F44" i="79"/>
  <c r="G43" i="79"/>
  <c r="F43" i="79"/>
  <c r="G41" i="79"/>
  <c r="F41" i="79"/>
  <c r="F39" i="79"/>
  <c r="F38" i="79"/>
  <c r="L22" i="78"/>
  <c r="L21" i="78"/>
  <c r="F24" i="78"/>
  <c r="F23" i="78"/>
  <c r="F22" i="78"/>
  <c r="L18" i="78"/>
  <c r="L16" i="78"/>
  <c r="L15" i="78"/>
  <c r="L12" i="78"/>
  <c r="L11" i="78"/>
  <c r="L10" i="78"/>
  <c r="L9" i="78"/>
  <c r="L8" i="78"/>
  <c r="L7" i="78"/>
  <c r="L6" i="78"/>
  <c r="F15" i="78"/>
  <c r="F14" i="78"/>
  <c r="F13" i="78"/>
  <c r="F12" i="78"/>
  <c r="F11" i="78"/>
  <c r="F10" i="78"/>
  <c r="F9" i="78"/>
  <c r="F8" i="78"/>
  <c r="F7" i="78"/>
  <c r="I64" i="78" s="1"/>
  <c r="F6" i="78"/>
  <c r="C3" i="78"/>
  <c r="I65" i="78" s="1"/>
  <c r="C2" i="78"/>
  <c r="G36" i="78" s="1"/>
  <c r="G55" i="78"/>
  <c r="F55" i="78"/>
  <c r="G54" i="78"/>
  <c r="F54" i="78"/>
  <c r="G53" i="78"/>
  <c r="F53" i="78"/>
  <c r="G52" i="78"/>
  <c r="F52" i="78"/>
  <c r="G51" i="78"/>
  <c r="F51" i="78"/>
  <c r="G50" i="78"/>
  <c r="F50" i="78"/>
  <c r="G49" i="78"/>
  <c r="F49" i="78"/>
  <c r="G48" i="78"/>
  <c r="F48" i="78"/>
  <c r="G47" i="78"/>
  <c r="F47" i="78"/>
  <c r="G46" i="78"/>
  <c r="F46" i="78"/>
  <c r="G45" i="78"/>
  <c r="F45" i="78"/>
  <c r="G44" i="78"/>
  <c r="F44" i="78"/>
  <c r="G43" i="78"/>
  <c r="F43" i="78"/>
  <c r="G42" i="78"/>
  <c r="F42" i="78"/>
  <c r="G41" i="78"/>
  <c r="F41" i="78"/>
  <c r="G40" i="78"/>
  <c r="F40" i="78"/>
  <c r="G39" i="78"/>
  <c r="F39" i="78"/>
  <c r="G38" i="78"/>
  <c r="F38" i="78"/>
  <c r="F24" i="77"/>
  <c r="F23" i="77"/>
  <c r="F22" i="77"/>
  <c r="F21" i="77"/>
  <c r="L18" i="77"/>
  <c r="L16" i="77"/>
  <c r="L15" i="77"/>
  <c r="L14" i="77"/>
  <c r="L12" i="77"/>
  <c r="L11" i="77"/>
  <c r="L10" i="77"/>
  <c r="L9" i="77"/>
  <c r="L8" i="77"/>
  <c r="L7" i="77"/>
  <c r="L6" i="77"/>
  <c r="F15" i="77"/>
  <c r="F14" i="77"/>
  <c r="F13" i="77"/>
  <c r="F12" i="77"/>
  <c r="F11" i="77"/>
  <c r="F10" i="77"/>
  <c r="F9" i="77"/>
  <c r="F8" i="77"/>
  <c r="F7" i="77"/>
  <c r="I64" i="77" s="1"/>
  <c r="F6" i="77"/>
  <c r="L22" i="77"/>
  <c r="L21" i="77"/>
  <c r="C3" i="77"/>
  <c r="I65" i="77" s="1"/>
  <c r="C2" i="77"/>
  <c r="I63" i="77" s="1"/>
  <c r="G55" i="77"/>
  <c r="F55" i="77"/>
  <c r="G54" i="77"/>
  <c r="F54" i="77"/>
  <c r="G53" i="77"/>
  <c r="F53" i="77"/>
  <c r="G52" i="77"/>
  <c r="F52" i="77"/>
  <c r="G51" i="77"/>
  <c r="F51" i="77"/>
  <c r="G50" i="77"/>
  <c r="F50" i="77"/>
  <c r="G49" i="77"/>
  <c r="F49" i="77"/>
  <c r="G48" i="77"/>
  <c r="F48" i="77"/>
  <c r="G47" i="77"/>
  <c r="F47" i="77"/>
  <c r="G46" i="77"/>
  <c r="F46" i="77"/>
  <c r="G45" i="77"/>
  <c r="F45" i="77"/>
  <c r="G44" i="77"/>
  <c r="F44" i="77"/>
  <c r="G43" i="77"/>
  <c r="F43" i="77"/>
  <c r="G42" i="77"/>
  <c r="F42" i="77"/>
  <c r="G41" i="77"/>
  <c r="F41" i="77"/>
  <c r="G40" i="77"/>
  <c r="F40" i="77"/>
  <c r="G39" i="77"/>
  <c r="F39" i="77"/>
  <c r="G38" i="77"/>
  <c r="F38" i="77"/>
  <c r="F24" i="76"/>
  <c r="F23" i="76"/>
  <c r="F22" i="76"/>
  <c r="L18" i="76"/>
  <c r="L16" i="76"/>
  <c r="L15" i="76"/>
  <c r="L14" i="76"/>
  <c r="L12" i="76"/>
  <c r="L11" i="76"/>
  <c r="L10" i="76"/>
  <c r="L9" i="76"/>
  <c r="L8" i="76"/>
  <c r="L7" i="76"/>
  <c r="L6" i="76"/>
  <c r="F15" i="76"/>
  <c r="F14" i="76"/>
  <c r="F13" i="76"/>
  <c r="F12" i="76"/>
  <c r="F11" i="76"/>
  <c r="F10" i="76"/>
  <c r="F9" i="76"/>
  <c r="F8" i="76"/>
  <c r="F7" i="76"/>
  <c r="I64" i="76" s="1"/>
  <c r="F6" i="76"/>
  <c r="L22" i="76"/>
  <c r="L21" i="76"/>
  <c r="C3" i="76"/>
  <c r="I65" i="76" s="1"/>
  <c r="C2" i="76"/>
  <c r="I63" i="76" s="1"/>
  <c r="G55" i="76"/>
  <c r="F55" i="76"/>
  <c r="G54" i="76"/>
  <c r="F54" i="76"/>
  <c r="G53" i="76"/>
  <c r="F53" i="76"/>
  <c r="G52" i="76"/>
  <c r="F52" i="76"/>
  <c r="G51" i="76"/>
  <c r="F51" i="76"/>
  <c r="G50" i="76"/>
  <c r="F50" i="76"/>
  <c r="G49" i="76"/>
  <c r="F49" i="76"/>
  <c r="G48" i="76"/>
  <c r="F48" i="76"/>
  <c r="G47" i="76"/>
  <c r="F47" i="76"/>
  <c r="G46" i="76"/>
  <c r="F46" i="76"/>
  <c r="G45" i="76"/>
  <c r="F45" i="76"/>
  <c r="G44" i="76"/>
  <c r="F44" i="76"/>
  <c r="G43" i="76"/>
  <c r="F43" i="76"/>
  <c r="G42" i="76"/>
  <c r="F42" i="76"/>
  <c r="G41" i="76"/>
  <c r="F41" i="76"/>
  <c r="G40" i="76"/>
  <c r="F40" i="76"/>
  <c r="G39" i="76"/>
  <c r="F39" i="76"/>
  <c r="G38" i="76"/>
  <c r="F38" i="76"/>
  <c r="I235" i="73"/>
  <c r="J235" i="73"/>
  <c r="J225" i="73"/>
  <c r="I225" i="73"/>
  <c r="I63" i="78" l="1"/>
  <c r="I63" i="81"/>
  <c r="G36" i="80"/>
  <c r="G36" i="79"/>
  <c r="G36" i="77"/>
  <c r="G36" i="76"/>
  <c r="I235" i="66" l="1"/>
  <c r="I225" i="66"/>
  <c r="F24" i="75" l="1"/>
  <c r="F23" i="75"/>
  <c r="F22" i="75"/>
  <c r="F21" i="75"/>
  <c r="L22" i="75"/>
  <c r="L21" i="75"/>
  <c r="L18" i="75"/>
  <c r="L16" i="75"/>
  <c r="L15" i="75"/>
  <c r="L14" i="75"/>
  <c r="L12" i="75"/>
  <c r="L11" i="75"/>
  <c r="L10" i="75"/>
  <c r="L9" i="75"/>
  <c r="L8" i="75"/>
  <c r="L7" i="75"/>
  <c r="L6" i="75"/>
  <c r="F15" i="75"/>
  <c r="F14" i="75"/>
  <c r="F13" i="75"/>
  <c r="F12" i="75"/>
  <c r="F11" i="75"/>
  <c r="F10" i="75"/>
  <c r="F9" i="75"/>
  <c r="F8" i="75"/>
  <c r="F7" i="75"/>
  <c r="I64" i="75" s="1"/>
  <c r="F6" i="75"/>
  <c r="C3" i="75"/>
  <c r="I65" i="75" s="1"/>
  <c r="C2" i="75"/>
  <c r="G36" i="75" s="1"/>
  <c r="G55" i="75"/>
  <c r="F55" i="75"/>
  <c r="G54" i="75"/>
  <c r="F54" i="75"/>
  <c r="G53" i="75"/>
  <c r="F53" i="75"/>
  <c r="G52" i="75"/>
  <c r="F52" i="75"/>
  <c r="G51" i="75"/>
  <c r="F51" i="75"/>
  <c r="G50" i="75"/>
  <c r="F50" i="75"/>
  <c r="G49" i="75"/>
  <c r="F49" i="75"/>
  <c r="G48" i="75"/>
  <c r="F48" i="75"/>
  <c r="G47" i="75"/>
  <c r="F47" i="75"/>
  <c r="G46" i="75"/>
  <c r="F46" i="75"/>
  <c r="G45" i="75"/>
  <c r="F45" i="75"/>
  <c r="G44" i="75"/>
  <c r="F44" i="75"/>
  <c r="G43" i="75"/>
  <c r="F43" i="75"/>
  <c r="G42" i="75"/>
  <c r="F42" i="75"/>
  <c r="G41" i="75"/>
  <c r="F41" i="75"/>
  <c r="G40" i="75"/>
  <c r="F40" i="75"/>
  <c r="G39" i="75"/>
  <c r="F39" i="75"/>
  <c r="G38" i="75"/>
  <c r="F38" i="75"/>
  <c r="L22" i="74"/>
  <c r="L21" i="74"/>
  <c r="F24" i="74"/>
  <c r="F23" i="74"/>
  <c r="F22" i="74"/>
  <c r="L16" i="74"/>
  <c r="L15" i="74"/>
  <c r="L12" i="74"/>
  <c r="L11" i="74"/>
  <c r="L10" i="74"/>
  <c r="L9" i="74"/>
  <c r="L8" i="74"/>
  <c r="L7" i="74"/>
  <c r="L6" i="74"/>
  <c r="F15" i="74"/>
  <c r="F14" i="74"/>
  <c r="F13" i="74"/>
  <c r="F12" i="74"/>
  <c r="F11" i="74"/>
  <c r="F10" i="74"/>
  <c r="F9" i="74"/>
  <c r="F8" i="74"/>
  <c r="F7" i="74"/>
  <c r="I71" i="74" s="1"/>
  <c r="F6" i="74"/>
  <c r="I72" i="74"/>
  <c r="C2" i="74"/>
  <c r="G62" i="74"/>
  <c r="F62" i="74"/>
  <c r="G61" i="74"/>
  <c r="F61" i="74"/>
  <c r="G60" i="74"/>
  <c r="F60" i="74"/>
  <c r="G59" i="74"/>
  <c r="F59" i="74"/>
  <c r="G58" i="74"/>
  <c r="F58" i="74"/>
  <c r="G57" i="74"/>
  <c r="F57" i="74"/>
  <c r="G56" i="74"/>
  <c r="F56" i="74"/>
  <c r="G55" i="74"/>
  <c r="F55" i="74"/>
  <c r="G54" i="74"/>
  <c r="F54" i="74"/>
  <c r="G53" i="74"/>
  <c r="F53" i="74"/>
  <c r="G52" i="74"/>
  <c r="F52" i="74"/>
  <c r="G51" i="74"/>
  <c r="F51" i="74"/>
  <c r="G50" i="74"/>
  <c r="F50" i="74"/>
  <c r="G49" i="74"/>
  <c r="F49" i="74"/>
  <c r="G48" i="74"/>
  <c r="F48" i="74"/>
  <c r="G47" i="74"/>
  <c r="F47" i="74"/>
  <c r="G46" i="74"/>
  <c r="F46" i="74"/>
  <c r="G45" i="74"/>
  <c r="F45" i="74"/>
  <c r="I70" i="74"/>
  <c r="L22" i="73"/>
  <c r="L21" i="73"/>
  <c r="F24" i="73"/>
  <c r="F23" i="73"/>
  <c r="F22" i="73"/>
  <c r="F21" i="73"/>
  <c r="L18" i="73"/>
  <c r="L16" i="73"/>
  <c r="L15" i="73"/>
  <c r="L14" i="73"/>
  <c r="L12" i="73"/>
  <c r="L11" i="73"/>
  <c r="L10" i="73"/>
  <c r="L9" i="73"/>
  <c r="L8" i="73"/>
  <c r="L7" i="73"/>
  <c r="L6" i="73"/>
  <c r="F15" i="73"/>
  <c r="F14" i="73"/>
  <c r="F13" i="73"/>
  <c r="F12" i="73"/>
  <c r="F11" i="73"/>
  <c r="F10" i="73"/>
  <c r="F9" i="73"/>
  <c r="F8" i="73"/>
  <c r="F7" i="73"/>
  <c r="I64" i="73" s="1"/>
  <c r="F6" i="73"/>
  <c r="C3" i="73"/>
  <c r="I65" i="73" s="1"/>
  <c r="C2" i="73"/>
  <c r="I63" i="73" s="1"/>
  <c r="G55" i="73"/>
  <c r="F55" i="73"/>
  <c r="G54" i="73"/>
  <c r="F54" i="73"/>
  <c r="G53" i="73"/>
  <c r="F53" i="73"/>
  <c r="G52" i="73"/>
  <c r="F52" i="73"/>
  <c r="G51" i="73"/>
  <c r="F51" i="73"/>
  <c r="G50" i="73"/>
  <c r="F50" i="73"/>
  <c r="G49" i="73"/>
  <c r="F49" i="73"/>
  <c r="G48" i="73"/>
  <c r="F48" i="73"/>
  <c r="G47" i="73"/>
  <c r="F47" i="73"/>
  <c r="G46" i="73"/>
  <c r="F46" i="73"/>
  <c r="G45" i="73"/>
  <c r="F45" i="73"/>
  <c r="G44" i="73"/>
  <c r="F44" i="73"/>
  <c r="G43" i="73"/>
  <c r="F43" i="73"/>
  <c r="G42" i="73"/>
  <c r="F42" i="73"/>
  <c r="G41" i="73"/>
  <c r="F41" i="73"/>
  <c r="G40" i="73"/>
  <c r="F40" i="73"/>
  <c r="G39" i="73"/>
  <c r="F39" i="73"/>
  <c r="G38" i="73"/>
  <c r="F38" i="73"/>
  <c r="L22" i="72"/>
  <c r="L21" i="72"/>
  <c r="F24" i="72"/>
  <c r="F23" i="72"/>
  <c r="F22" i="72"/>
  <c r="F21" i="72"/>
  <c r="L16" i="72"/>
  <c r="L15" i="72"/>
  <c r="L12" i="72"/>
  <c r="L11" i="72"/>
  <c r="L10" i="72"/>
  <c r="L9" i="72"/>
  <c r="L8" i="72"/>
  <c r="L7" i="72"/>
  <c r="L6" i="72"/>
  <c r="F15" i="72"/>
  <c r="F14" i="72"/>
  <c r="F13" i="72"/>
  <c r="F12" i="72"/>
  <c r="F11" i="72"/>
  <c r="F10" i="72"/>
  <c r="F9" i="72"/>
  <c r="F8" i="72"/>
  <c r="F7" i="72"/>
  <c r="I64" i="72" s="1"/>
  <c r="F6" i="72"/>
  <c r="I65" i="72"/>
  <c r="C2" i="72"/>
  <c r="G36" i="72" s="1"/>
  <c r="G55" i="72"/>
  <c r="F55" i="72"/>
  <c r="G54" i="72"/>
  <c r="F54" i="72"/>
  <c r="G53" i="72"/>
  <c r="F53" i="72"/>
  <c r="G52" i="72"/>
  <c r="F52" i="72"/>
  <c r="G51" i="72"/>
  <c r="F51" i="72"/>
  <c r="G50" i="72"/>
  <c r="F50" i="72"/>
  <c r="G49" i="72"/>
  <c r="F49" i="72"/>
  <c r="G48" i="72"/>
  <c r="F48" i="72"/>
  <c r="G47" i="72"/>
  <c r="F47" i="72"/>
  <c r="G46" i="72"/>
  <c r="F46" i="72"/>
  <c r="G45" i="72"/>
  <c r="F45" i="72"/>
  <c r="G44" i="72"/>
  <c r="F44" i="72"/>
  <c r="G43" i="72"/>
  <c r="F43" i="72"/>
  <c r="G42" i="72"/>
  <c r="F42" i="72"/>
  <c r="G41" i="72"/>
  <c r="F41" i="72"/>
  <c r="G40" i="72"/>
  <c r="F40" i="72"/>
  <c r="G39" i="72"/>
  <c r="F39" i="72"/>
  <c r="G38" i="72"/>
  <c r="F38" i="72"/>
  <c r="L11" i="66"/>
  <c r="T20" i="70"/>
  <c r="T19" i="70"/>
  <c r="T18" i="70"/>
  <c r="T17" i="70"/>
  <c r="T16" i="70"/>
  <c r="T15" i="70"/>
  <c r="T14" i="70"/>
  <c r="T13" i="70"/>
  <c r="T12" i="70"/>
  <c r="T11" i="70"/>
  <c r="R10" i="70"/>
  <c r="R22" i="70" s="1"/>
  <c r="T9" i="70"/>
  <c r="T8" i="70"/>
  <c r="T7" i="70"/>
  <c r="T6" i="70"/>
  <c r="T5" i="70"/>
  <c r="T4" i="70"/>
  <c r="H55" i="11"/>
  <c r="G55" i="11"/>
  <c r="F55" i="11"/>
  <c r="F28" i="11"/>
  <c r="H27" i="11"/>
  <c r="G27" i="11"/>
  <c r="F27" i="11"/>
  <c r="H50" i="11"/>
  <c r="G50" i="11"/>
  <c r="F50" i="11"/>
  <c r="F46" i="11"/>
  <c r="H45" i="11"/>
  <c r="G45" i="11"/>
  <c r="F45" i="11"/>
  <c r="H40" i="11"/>
  <c r="G40" i="11"/>
  <c r="F40" i="11"/>
  <c r="H35" i="11"/>
  <c r="G35" i="11"/>
  <c r="F35" i="11"/>
  <c r="J22" i="11"/>
  <c r="J17" i="11"/>
  <c r="J12" i="11"/>
  <c r="K12" i="11"/>
  <c r="AO57" i="1"/>
  <c r="D70" i="39"/>
  <c r="D69" i="39"/>
  <c r="D68" i="39"/>
  <c r="D67" i="39"/>
  <c r="D66" i="39"/>
  <c r="D65" i="39"/>
  <c r="D64" i="39"/>
  <c r="D63" i="39"/>
  <c r="B70" i="39"/>
  <c r="B69" i="39"/>
  <c r="B68" i="39"/>
  <c r="B67" i="39"/>
  <c r="B66" i="39"/>
  <c r="B65" i="39"/>
  <c r="B64" i="39"/>
  <c r="B63" i="39"/>
  <c r="F26" i="39"/>
  <c r="F25" i="39"/>
  <c r="F22" i="39"/>
  <c r="F20" i="39"/>
  <c r="F19" i="39"/>
  <c r="D26" i="39"/>
  <c r="D25" i="39"/>
  <c r="D24" i="39"/>
  <c r="D22" i="39"/>
  <c r="D21" i="39"/>
  <c r="D20" i="39"/>
  <c r="D19" i="39"/>
  <c r="D18" i="39"/>
  <c r="D17" i="39"/>
  <c r="B26" i="39"/>
  <c r="B25" i="39"/>
  <c r="B24" i="39"/>
  <c r="B22" i="39"/>
  <c r="B21" i="39"/>
  <c r="B20" i="39"/>
  <c r="B19" i="39"/>
  <c r="B18" i="39"/>
  <c r="B17" i="39"/>
  <c r="D8" i="39"/>
  <c r="D7" i="39"/>
  <c r="D6" i="39"/>
  <c r="D5" i="39"/>
  <c r="B8" i="39"/>
  <c r="B7" i="39"/>
  <c r="B6" i="39"/>
  <c r="B5" i="39"/>
  <c r="BM57" i="1"/>
  <c r="AP57" i="1"/>
  <c r="AQ57" i="1"/>
  <c r="AR57" i="1"/>
  <c r="AS57" i="1"/>
  <c r="AT57" i="1"/>
  <c r="F78" i="2"/>
  <c r="F77" i="2"/>
  <c r="F76" i="2"/>
  <c r="F74" i="2"/>
  <c r="F73" i="2"/>
  <c r="D78" i="2"/>
  <c r="D77" i="2"/>
  <c r="D76" i="2"/>
  <c r="D75" i="2"/>
  <c r="D74" i="2"/>
  <c r="D73" i="2"/>
  <c r="B78" i="2"/>
  <c r="B77" i="2"/>
  <c r="B76" i="2"/>
  <c r="B75" i="2"/>
  <c r="B74" i="2"/>
  <c r="B73" i="2"/>
  <c r="D9" i="2"/>
  <c r="D7" i="2"/>
  <c r="F27" i="2"/>
  <c r="F26" i="2"/>
  <c r="F25" i="2"/>
  <c r="F23" i="2"/>
  <c r="F22" i="2"/>
  <c r="F21" i="2"/>
  <c r="F20" i="2"/>
  <c r="D27" i="2"/>
  <c r="D26" i="2"/>
  <c r="D25" i="2"/>
  <c r="B27" i="2"/>
  <c r="B26" i="2"/>
  <c r="B25" i="2"/>
  <c r="D23" i="2"/>
  <c r="D22" i="2"/>
  <c r="D21" i="2"/>
  <c r="D20" i="2"/>
  <c r="B23" i="2"/>
  <c r="B22" i="2"/>
  <c r="B21" i="2"/>
  <c r="B20" i="2"/>
  <c r="D19" i="2"/>
  <c r="D18" i="2"/>
  <c r="D6" i="2"/>
  <c r="B9" i="2"/>
  <c r="B6" i="2"/>
  <c r="H90" i="1"/>
  <c r="AB90" i="1"/>
  <c r="AC90" i="1" s="1"/>
  <c r="AF90" i="1" s="1"/>
  <c r="BG90" i="1"/>
  <c r="AB91" i="1"/>
  <c r="AH91" i="1" s="1"/>
  <c r="BG91" i="1"/>
  <c r="AB92" i="1"/>
  <c r="AH92" i="1" s="1"/>
  <c r="BG92" i="1"/>
  <c r="AB93" i="1"/>
  <c r="AC93" i="1" s="1"/>
  <c r="AF93" i="1" s="1"/>
  <c r="BG93" i="1"/>
  <c r="AU57" i="1"/>
  <c r="AV57" i="1"/>
  <c r="AW57" i="1"/>
  <c r="AX57" i="1"/>
  <c r="AY57" i="1"/>
  <c r="AZ57" i="1"/>
  <c r="BA57" i="1"/>
  <c r="BB57" i="1"/>
  <c r="BC57" i="1"/>
  <c r="BD57" i="1"/>
  <c r="P20" i="70"/>
  <c r="P19" i="70"/>
  <c r="P18" i="70"/>
  <c r="P17" i="70"/>
  <c r="P16" i="70"/>
  <c r="P15" i="70"/>
  <c r="P14" i="70"/>
  <c r="P13" i="70"/>
  <c r="P12" i="70"/>
  <c r="P11" i="70"/>
  <c r="N10" i="70"/>
  <c r="N22" i="70" s="1"/>
  <c r="P9" i="70"/>
  <c r="P8" i="70"/>
  <c r="P7" i="70"/>
  <c r="P6" i="70"/>
  <c r="P5" i="70"/>
  <c r="P4" i="70"/>
  <c r="BE27" i="1"/>
  <c r="BE28" i="1"/>
  <c r="BE29" i="1"/>
  <c r="K17" i="11" s="1"/>
  <c r="BE30" i="1"/>
  <c r="BE31" i="1"/>
  <c r="K22" i="11" s="1"/>
  <c r="BE32" i="1"/>
  <c r="BE33" i="1"/>
  <c r="BE34" i="1"/>
  <c r="BE35" i="1"/>
  <c r="BE36" i="1"/>
  <c r="BE37" i="1"/>
  <c r="BE38" i="1"/>
  <c r="BE39" i="1"/>
  <c r="BE40" i="1"/>
  <c r="BE41" i="1"/>
  <c r="BE42" i="1"/>
  <c r="BE43" i="1"/>
  <c r="BE44" i="1"/>
  <c r="BE45" i="1"/>
  <c r="BE46" i="1"/>
  <c r="BE47" i="1"/>
  <c r="BE48" i="1"/>
  <c r="BE49" i="1"/>
  <c r="BE50" i="1"/>
  <c r="BE51" i="1"/>
  <c r="BE52" i="1"/>
  <c r="BE53" i="1"/>
  <c r="BE54" i="1"/>
  <c r="BE55" i="1"/>
  <c r="BE26" i="1"/>
  <c r="B79" i="2" l="1"/>
  <c r="C73" i="2" s="1"/>
  <c r="T10" i="70"/>
  <c r="T22" i="70" s="1"/>
  <c r="P10" i="70"/>
  <c r="P22" i="70" s="1"/>
  <c r="I63" i="75"/>
  <c r="G43" i="74"/>
  <c r="G36" i="73"/>
  <c r="I63" i="72"/>
  <c r="AH93" i="1"/>
  <c r="AI93" i="1" s="1"/>
  <c r="AJ93" i="1" s="1"/>
  <c r="AC92" i="1"/>
  <c r="AF92" i="1" s="1"/>
  <c r="AH90" i="1"/>
  <c r="AI90" i="1" s="1"/>
  <c r="AJ90" i="1" s="1"/>
  <c r="AI92" i="1"/>
  <c r="AJ92" i="1" s="1"/>
  <c r="AI91" i="1"/>
  <c r="AJ91" i="1" s="1"/>
  <c r="AC91" i="1"/>
  <c r="AF91" i="1" s="1"/>
  <c r="BE57" i="1"/>
  <c r="AI94" i="1" l="1"/>
  <c r="AJ94" i="1" s="1"/>
  <c r="BH94" i="1" s="1"/>
  <c r="AB94" i="1"/>
  <c r="BL94" i="1" l="1"/>
  <c r="BK94" i="1"/>
  <c r="BJ94" i="1"/>
  <c r="I59" i="41" l="1"/>
  <c r="I60" i="41"/>
  <c r="I61" i="41"/>
  <c r="I58" i="41"/>
  <c r="I49" i="41"/>
  <c r="I50" i="41"/>
  <c r="I51" i="41"/>
  <c r="I52" i="41"/>
  <c r="I53" i="41"/>
  <c r="I48" i="41"/>
  <c r="G49" i="41" l="1"/>
  <c r="AD49" i="41" s="1"/>
  <c r="G50" i="41"/>
  <c r="AD50" i="41" s="1"/>
  <c r="G51" i="41"/>
  <c r="AD51" i="41" s="1"/>
  <c r="G52" i="41"/>
  <c r="AD52" i="41" s="1"/>
  <c r="G53" i="41"/>
  <c r="AD53" i="41" s="1"/>
  <c r="G48" i="41"/>
  <c r="AD48" i="41" s="1"/>
  <c r="G59" i="41"/>
  <c r="AD59" i="41" s="1"/>
  <c r="G60" i="41"/>
  <c r="AD60" i="41" s="1"/>
  <c r="G61" i="41"/>
  <c r="AD61" i="41" s="1"/>
  <c r="G58" i="41"/>
  <c r="AD58" i="41" s="1"/>
  <c r="I43" i="41" l="1"/>
  <c r="I42" i="41"/>
  <c r="I33" i="41"/>
  <c r="I34" i="41"/>
  <c r="I35" i="41"/>
  <c r="I36" i="41"/>
  <c r="I37" i="41"/>
  <c r="I38" i="41"/>
  <c r="I32" i="41"/>
  <c r="I16" i="41"/>
  <c r="I17" i="41"/>
  <c r="I18" i="41"/>
  <c r="I19" i="41"/>
  <c r="I20" i="41"/>
  <c r="I21" i="41"/>
  <c r="I23" i="41"/>
  <c r="I24" i="41"/>
  <c r="I25" i="41"/>
  <c r="I26" i="41"/>
  <c r="I27" i="41"/>
  <c r="I15" i="41"/>
  <c r="I6" i="41"/>
  <c r="I7" i="41"/>
  <c r="I8" i="41"/>
  <c r="I9" i="41"/>
  <c r="I5" i="41"/>
  <c r="G43" i="41"/>
  <c r="G42" i="41"/>
  <c r="AD42" i="41" s="1"/>
  <c r="G33" i="41"/>
  <c r="AD33" i="41" s="1"/>
  <c r="G34" i="41"/>
  <c r="G35" i="41"/>
  <c r="AD35" i="41" s="1"/>
  <c r="G36" i="41"/>
  <c r="AD36" i="41" s="1"/>
  <c r="G37" i="41"/>
  <c r="G38" i="41"/>
  <c r="G32" i="41"/>
  <c r="G16" i="41"/>
  <c r="AD16" i="41" s="1"/>
  <c r="G17" i="41"/>
  <c r="AD17" i="41" s="1"/>
  <c r="G18" i="41"/>
  <c r="G19" i="41"/>
  <c r="AD19" i="41" s="1"/>
  <c r="G20" i="41"/>
  <c r="AD20" i="41" s="1"/>
  <c r="G21" i="41"/>
  <c r="G23" i="41"/>
  <c r="G24" i="41"/>
  <c r="G25" i="41"/>
  <c r="AD25" i="41" s="1"/>
  <c r="G26" i="41"/>
  <c r="AD26" i="41" s="1"/>
  <c r="G27" i="41"/>
  <c r="G15" i="41"/>
  <c r="AD15" i="41" s="1"/>
  <c r="G6" i="41"/>
  <c r="AD6" i="41" s="1"/>
  <c r="G7" i="41"/>
  <c r="G8" i="41"/>
  <c r="G9" i="41"/>
  <c r="G5" i="41"/>
  <c r="AD5" i="41" s="1"/>
  <c r="AD23" i="41" l="1"/>
  <c r="AD38" i="41"/>
  <c r="AD8" i="41"/>
  <c r="AD7" i="41"/>
  <c r="AD21" i="41"/>
  <c r="AD37" i="41"/>
  <c r="AD27" i="41"/>
  <c r="AD18" i="41"/>
  <c r="AD34" i="41"/>
  <c r="AD9" i="41"/>
  <c r="AD24" i="41"/>
  <c r="AD32" i="41"/>
  <c r="AD43" i="41"/>
  <c r="D5" i="40"/>
  <c r="AE34" i="41"/>
  <c r="AE35" i="41"/>
  <c r="AE36" i="41"/>
  <c r="AE38" i="41"/>
  <c r="AE32" i="41"/>
  <c r="L20" i="70" l="1"/>
  <c r="L19" i="70"/>
  <c r="L18" i="70"/>
  <c r="L17" i="70"/>
  <c r="L16" i="70"/>
  <c r="L15" i="70"/>
  <c r="L14" i="70"/>
  <c r="L13" i="70"/>
  <c r="L12" i="70"/>
  <c r="L11" i="70"/>
  <c r="J10" i="70"/>
  <c r="J22" i="70" s="1"/>
  <c r="L9" i="70"/>
  <c r="L8" i="70"/>
  <c r="L7" i="70"/>
  <c r="L6" i="70"/>
  <c r="L5" i="70"/>
  <c r="L4" i="70"/>
  <c r="H20" i="70"/>
  <c r="F10" i="70"/>
  <c r="F22" i="70" s="1"/>
  <c r="B22" i="70"/>
  <c r="H19" i="70"/>
  <c r="H18" i="70"/>
  <c r="H17" i="70"/>
  <c r="H16" i="70"/>
  <c r="H15" i="70"/>
  <c r="H14" i="70"/>
  <c r="H13" i="70"/>
  <c r="H12" i="70"/>
  <c r="H11" i="70"/>
  <c r="H9" i="70"/>
  <c r="H8" i="70"/>
  <c r="H7" i="70"/>
  <c r="H6" i="70"/>
  <c r="H5" i="70"/>
  <c r="H4" i="70"/>
  <c r="D5" i="70"/>
  <c r="D6" i="70"/>
  <c r="D7" i="70"/>
  <c r="D8" i="70"/>
  <c r="D9" i="70"/>
  <c r="D10" i="70"/>
  <c r="D11" i="70"/>
  <c r="D12" i="70"/>
  <c r="D13" i="70"/>
  <c r="D14" i="70"/>
  <c r="D15" i="70"/>
  <c r="D16" i="70"/>
  <c r="D17" i="70"/>
  <c r="D18" i="70"/>
  <c r="D19" i="70"/>
  <c r="D4" i="70"/>
  <c r="BG27" i="1"/>
  <c r="L23" i="73" s="1"/>
  <c r="P21" i="69"/>
  <c r="C21" i="69"/>
  <c r="D21" i="69"/>
  <c r="E21" i="69"/>
  <c r="F21" i="69"/>
  <c r="G21" i="69"/>
  <c r="H21" i="69"/>
  <c r="I21" i="69"/>
  <c r="J21" i="69"/>
  <c r="K21" i="69"/>
  <c r="L21" i="69"/>
  <c r="M21" i="69"/>
  <c r="N21" i="69"/>
  <c r="B21" i="69"/>
  <c r="H10" i="70" l="1"/>
  <c r="H22" i="70" s="1"/>
  <c r="F23" i="70"/>
  <c r="J23" i="70"/>
  <c r="D22" i="70"/>
  <c r="P23" i="70" s="1"/>
  <c r="T23" i="70"/>
  <c r="L10" i="70"/>
  <c r="L22" i="70" s="1"/>
  <c r="L23" i="70" s="1"/>
  <c r="N23" i="70"/>
  <c r="R23" i="70"/>
  <c r="L22" i="66"/>
  <c r="L21" i="66"/>
  <c r="F24" i="66"/>
  <c r="F23" i="66"/>
  <c r="F22" i="66"/>
  <c r="L18" i="66"/>
  <c r="L9" i="66"/>
  <c r="L8" i="66"/>
  <c r="L7" i="66"/>
  <c r="L6" i="66"/>
  <c r="F15" i="66"/>
  <c r="F14" i="66"/>
  <c r="F13" i="66"/>
  <c r="F12" i="66"/>
  <c r="F11" i="66"/>
  <c r="F10" i="66"/>
  <c r="F9" i="66"/>
  <c r="F7" i="66"/>
  <c r="F6" i="66"/>
  <c r="C3" i="66"/>
  <c r="I65" i="66" s="1"/>
  <c r="C2" i="66"/>
  <c r="G55" i="66"/>
  <c r="F55" i="66"/>
  <c r="G54" i="66"/>
  <c r="F54" i="66"/>
  <c r="G53" i="66"/>
  <c r="F53" i="66"/>
  <c r="G52" i="66"/>
  <c r="F52" i="66"/>
  <c r="G51" i="66"/>
  <c r="F51" i="66"/>
  <c r="G50" i="66"/>
  <c r="F50" i="66"/>
  <c r="G49" i="66"/>
  <c r="F49" i="66"/>
  <c r="G48" i="66"/>
  <c r="F48" i="66"/>
  <c r="G47" i="66"/>
  <c r="F47" i="66"/>
  <c r="G46" i="66"/>
  <c r="F46" i="66"/>
  <c r="G45" i="66"/>
  <c r="F45" i="66"/>
  <c r="G44" i="66"/>
  <c r="F44" i="66"/>
  <c r="G43" i="66"/>
  <c r="F43" i="66"/>
  <c r="G42" i="66"/>
  <c r="F42" i="66"/>
  <c r="G41" i="66"/>
  <c r="F41" i="66"/>
  <c r="G40" i="66"/>
  <c r="F40" i="66"/>
  <c r="G39" i="66"/>
  <c r="F39" i="66"/>
  <c r="G38" i="66"/>
  <c r="F38" i="66"/>
  <c r="I64" i="66"/>
  <c r="H23" i="70" l="1"/>
  <c r="I63" i="66"/>
  <c r="G36" i="66"/>
  <c r="AB62" i="41"/>
  <c r="Z62" i="41"/>
  <c r="X62" i="41"/>
  <c r="V62" i="41"/>
  <c r="T62" i="41"/>
  <c r="R62" i="41"/>
  <c r="P62" i="41"/>
  <c r="N62" i="41"/>
  <c r="L62" i="41"/>
  <c r="J62" i="41"/>
  <c r="H62" i="41"/>
  <c r="F62" i="41"/>
  <c r="E62" i="41"/>
  <c r="E63" i="41" s="1"/>
  <c r="AE61" i="41"/>
  <c r="AE60" i="41"/>
  <c r="AE59" i="41"/>
  <c r="AB54" i="41"/>
  <c r="Z54" i="41"/>
  <c r="X54" i="41"/>
  <c r="V54" i="41"/>
  <c r="T54" i="41"/>
  <c r="R54" i="41"/>
  <c r="P54" i="41"/>
  <c r="N54" i="41"/>
  <c r="L54" i="41"/>
  <c r="J54" i="41"/>
  <c r="H54" i="41"/>
  <c r="F54" i="41"/>
  <c r="E54" i="41"/>
  <c r="AE53" i="41"/>
  <c r="AE52" i="41"/>
  <c r="AE51" i="41"/>
  <c r="AE50" i="41"/>
  <c r="AE49" i="41"/>
  <c r="E51" i="40"/>
  <c r="M51" i="40" s="1"/>
  <c r="AB44" i="41"/>
  <c r="Z44" i="41"/>
  <c r="X44" i="41"/>
  <c r="V44" i="41"/>
  <c r="T44" i="41"/>
  <c r="R44" i="41"/>
  <c r="P44" i="41"/>
  <c r="N44" i="41"/>
  <c r="L44" i="41"/>
  <c r="J44" i="41"/>
  <c r="H44" i="41"/>
  <c r="F44" i="41"/>
  <c r="E44" i="41"/>
  <c r="AE43" i="41"/>
  <c r="Z39" i="41"/>
  <c r="V39" i="41"/>
  <c r="T39" i="41"/>
  <c r="R39" i="41"/>
  <c r="P39" i="41"/>
  <c r="N39" i="41"/>
  <c r="L39" i="41"/>
  <c r="J39" i="41"/>
  <c r="F39" i="41"/>
  <c r="E39" i="41"/>
  <c r="H39" i="41"/>
  <c r="AE33" i="41"/>
  <c r="AB39" i="41"/>
  <c r="X39" i="41"/>
  <c r="AB28" i="41"/>
  <c r="Z28" i="41"/>
  <c r="X28" i="41"/>
  <c r="V28" i="41"/>
  <c r="T28" i="41"/>
  <c r="R28" i="41"/>
  <c r="P28" i="41"/>
  <c r="N28" i="41"/>
  <c r="L28" i="41"/>
  <c r="J28" i="41"/>
  <c r="H28" i="41"/>
  <c r="H29" i="41" s="1"/>
  <c r="F28" i="41"/>
  <c r="F29" i="41" s="1"/>
  <c r="E28" i="41"/>
  <c r="E29" i="41" s="1"/>
  <c r="AE25" i="41"/>
  <c r="AE23" i="41"/>
  <c r="AE21" i="41"/>
  <c r="AE20" i="41"/>
  <c r="AE19" i="41"/>
  <c r="AE16" i="41"/>
  <c r="AE15" i="41"/>
  <c r="E11" i="41"/>
  <c r="AB10" i="41"/>
  <c r="Z10" i="41"/>
  <c r="X10" i="41"/>
  <c r="V10" i="41"/>
  <c r="T10" i="41"/>
  <c r="R10" i="41"/>
  <c r="P10" i="41"/>
  <c r="N10" i="41"/>
  <c r="L10" i="41"/>
  <c r="J10" i="41"/>
  <c r="H10" i="41"/>
  <c r="H11" i="41" s="1"/>
  <c r="F10" i="41"/>
  <c r="F11" i="41" s="1"/>
  <c r="E10" i="41"/>
  <c r="AE9" i="41"/>
  <c r="AE8" i="41"/>
  <c r="AE7" i="41"/>
  <c r="AE5" i="41"/>
  <c r="L66" i="40"/>
  <c r="K66" i="40"/>
  <c r="J66" i="40"/>
  <c r="I66" i="40"/>
  <c r="H66" i="40"/>
  <c r="G66" i="40"/>
  <c r="D65" i="40"/>
  <c r="D64" i="40"/>
  <c r="D63" i="40"/>
  <c r="D62" i="40"/>
  <c r="L57" i="40"/>
  <c r="K57" i="40"/>
  <c r="J57" i="40"/>
  <c r="I57" i="40"/>
  <c r="H57" i="40"/>
  <c r="G57" i="40"/>
  <c r="D56" i="40"/>
  <c r="D55" i="40"/>
  <c r="D54" i="40"/>
  <c r="D53" i="40"/>
  <c r="D52" i="40"/>
  <c r="D51" i="40"/>
  <c r="L46" i="40"/>
  <c r="K46" i="40"/>
  <c r="J46" i="40"/>
  <c r="I46" i="40"/>
  <c r="H46" i="40"/>
  <c r="G46" i="40"/>
  <c r="D45" i="40"/>
  <c r="D44" i="40"/>
  <c r="L40" i="40"/>
  <c r="K40" i="40"/>
  <c r="J40" i="40"/>
  <c r="I40" i="40"/>
  <c r="H40" i="40"/>
  <c r="G40" i="40"/>
  <c r="E39" i="40"/>
  <c r="M39" i="40" s="1"/>
  <c r="D39" i="40"/>
  <c r="D38" i="40"/>
  <c r="E37" i="40"/>
  <c r="M37" i="40" s="1"/>
  <c r="D37" i="40"/>
  <c r="E36" i="40"/>
  <c r="M36" i="40" s="1"/>
  <c r="D36" i="40"/>
  <c r="E35" i="40"/>
  <c r="M35" i="40" s="1"/>
  <c r="D35" i="40"/>
  <c r="D34" i="40"/>
  <c r="E33" i="40"/>
  <c r="M33" i="40" s="1"/>
  <c r="D33" i="40"/>
  <c r="L28" i="40"/>
  <c r="K28" i="40"/>
  <c r="D27" i="40"/>
  <c r="D26" i="40"/>
  <c r="D25" i="40"/>
  <c r="D24" i="40"/>
  <c r="D23" i="40"/>
  <c r="D21" i="40"/>
  <c r="J20" i="40"/>
  <c r="J28" i="40" s="1"/>
  <c r="I20" i="40"/>
  <c r="I28" i="40" s="1"/>
  <c r="H20" i="40"/>
  <c r="H28" i="40" s="1"/>
  <c r="G20" i="40"/>
  <c r="G28" i="40" s="1"/>
  <c r="D20" i="40"/>
  <c r="D19" i="40"/>
  <c r="D18" i="40"/>
  <c r="D17" i="40"/>
  <c r="D16" i="40"/>
  <c r="D15" i="40"/>
  <c r="L10" i="40"/>
  <c r="K10" i="40"/>
  <c r="J10" i="40"/>
  <c r="I10" i="40"/>
  <c r="H10" i="40"/>
  <c r="G10" i="40"/>
  <c r="D9" i="40"/>
  <c r="D8" i="40"/>
  <c r="D7" i="40"/>
  <c r="D6" i="40"/>
  <c r="E3" i="40"/>
  <c r="G3" i="40" s="1"/>
  <c r="H3" i="40" s="1"/>
  <c r="BJ38" i="1"/>
  <c r="G21" i="2"/>
  <c r="E21" i="2"/>
  <c r="C21" i="2"/>
  <c r="BM82" i="1"/>
  <c r="G71" i="38" s="1"/>
  <c r="AQ82" i="1"/>
  <c r="AR82" i="1"/>
  <c r="BE82" i="1"/>
  <c r="BH82" i="1"/>
  <c r="G66" i="38" s="1"/>
  <c r="BI82" i="1"/>
  <c r="G67" i="38" s="1"/>
  <c r="BJ82" i="1"/>
  <c r="BK82" i="1"/>
  <c r="G69" i="38" s="1"/>
  <c r="BL82" i="1"/>
  <c r="AP82" i="1"/>
  <c r="AP83" i="1" s="1"/>
  <c r="D68" i="38"/>
  <c r="D69" i="38"/>
  <c r="D70" i="38"/>
  <c r="D71" i="38"/>
  <c r="D67" i="38"/>
  <c r="D66" i="38"/>
  <c r="D65" i="38"/>
  <c r="D64" i="38"/>
  <c r="B71" i="38"/>
  <c r="B70" i="38"/>
  <c r="B69" i="38"/>
  <c r="B68" i="38"/>
  <c r="B67" i="38"/>
  <c r="B66" i="38"/>
  <c r="B65" i="38"/>
  <c r="B64" i="38"/>
  <c r="F55" i="38"/>
  <c r="F54" i="38"/>
  <c r="F53" i="38"/>
  <c r="F52" i="38"/>
  <c r="D55" i="38"/>
  <c r="D54" i="38"/>
  <c r="D53" i="38"/>
  <c r="D52" i="38"/>
  <c r="D51" i="38"/>
  <c r="D50" i="38"/>
  <c r="B55" i="38"/>
  <c r="B54" i="38"/>
  <c r="B53" i="38"/>
  <c r="B52" i="38"/>
  <c r="B51" i="38"/>
  <c r="B50" i="38"/>
  <c r="B20" i="38"/>
  <c r="D8" i="38"/>
  <c r="B8" i="38"/>
  <c r="AQ83" i="1" l="1"/>
  <c r="AR83" i="1"/>
  <c r="G63" i="39" s="1"/>
  <c r="BM83" i="1"/>
  <c r="G70" i="39" s="1"/>
  <c r="E55" i="40"/>
  <c r="M55" i="40" s="1"/>
  <c r="E21" i="40"/>
  <c r="M21" i="40" s="1"/>
  <c r="E63" i="40"/>
  <c r="M63" i="40" s="1"/>
  <c r="E53" i="40"/>
  <c r="M53" i="40" s="1"/>
  <c r="E65" i="40"/>
  <c r="M65" i="40" s="1"/>
  <c r="AD62" i="41"/>
  <c r="AD63" i="41" s="1"/>
  <c r="AE58" i="41"/>
  <c r="E52" i="40"/>
  <c r="M52" i="40" s="1"/>
  <c r="E54" i="40"/>
  <c r="M54" i="40" s="1"/>
  <c r="E56" i="40"/>
  <c r="M56" i="40" s="1"/>
  <c r="E62" i="40"/>
  <c r="M62" i="40" s="1"/>
  <c r="E64" i="40"/>
  <c r="M64" i="40" s="1"/>
  <c r="AD54" i="41"/>
  <c r="AE48" i="41"/>
  <c r="E23" i="40"/>
  <c r="M23" i="40" s="1"/>
  <c r="E16" i="40"/>
  <c r="M16" i="40" s="1"/>
  <c r="E45" i="40"/>
  <c r="M45" i="40" s="1"/>
  <c r="E25" i="40"/>
  <c r="M25" i="40" s="1"/>
  <c r="E20" i="40"/>
  <c r="M20" i="40" s="1"/>
  <c r="E19" i="40"/>
  <c r="M19" i="40" s="1"/>
  <c r="E15" i="40"/>
  <c r="M15" i="40" s="1"/>
  <c r="E9" i="40"/>
  <c r="M9" i="40" s="1"/>
  <c r="AD44" i="41"/>
  <c r="AE42" i="41"/>
  <c r="E44" i="40"/>
  <c r="M44" i="40" s="1"/>
  <c r="E34" i="40"/>
  <c r="M34" i="40" s="1"/>
  <c r="E27" i="40"/>
  <c r="M27" i="40" s="1"/>
  <c r="AE27" i="41"/>
  <c r="E26" i="40"/>
  <c r="M26" i="40" s="1"/>
  <c r="AE26" i="41"/>
  <c r="E24" i="40"/>
  <c r="M24" i="40" s="1"/>
  <c r="AE24" i="41"/>
  <c r="E18" i="40"/>
  <c r="M18" i="40" s="1"/>
  <c r="AE18" i="41"/>
  <c r="E17" i="40"/>
  <c r="M17" i="40" s="1"/>
  <c r="AE17" i="41"/>
  <c r="AD28" i="41"/>
  <c r="E8" i="40"/>
  <c r="M8" i="40" s="1"/>
  <c r="E6" i="40"/>
  <c r="M6" i="40" s="1"/>
  <c r="AE6" i="41"/>
  <c r="E5" i="40"/>
  <c r="M5" i="40" s="1"/>
  <c r="J11" i="41"/>
  <c r="L11" i="41" s="1"/>
  <c r="N11" i="41" s="1"/>
  <c r="P11" i="41" s="1"/>
  <c r="R11" i="41" s="1"/>
  <c r="T11" i="41" s="1"/>
  <c r="V11" i="41" s="1"/>
  <c r="X11" i="41" s="1"/>
  <c r="Z11" i="41" s="1"/>
  <c r="AB11" i="41" s="1"/>
  <c r="E7" i="40"/>
  <c r="M7" i="40" s="1"/>
  <c r="D57" i="40"/>
  <c r="D58" i="40" s="1"/>
  <c r="AD10" i="41"/>
  <c r="D28" i="40"/>
  <c r="D29" i="40" s="1"/>
  <c r="D46" i="40"/>
  <c r="D47" i="40" s="1"/>
  <c r="D66" i="40"/>
  <c r="D67" i="40" s="1"/>
  <c r="B23" i="39"/>
  <c r="D23" i="39"/>
  <c r="D40" i="40"/>
  <c r="D41" i="40" s="1"/>
  <c r="J29" i="41"/>
  <c r="L29" i="41" s="1"/>
  <c r="N29" i="41" s="1"/>
  <c r="P29" i="41" s="1"/>
  <c r="R29" i="41" s="1"/>
  <c r="T29" i="41" s="1"/>
  <c r="V29" i="41" s="1"/>
  <c r="X29" i="41" s="1"/>
  <c r="Z29" i="41" s="1"/>
  <c r="AB29" i="41" s="1"/>
  <c r="F63" i="41"/>
  <c r="H63" i="41" s="1"/>
  <c r="J63" i="41" s="1"/>
  <c r="L63" i="41" s="1"/>
  <c r="N63" i="41" s="1"/>
  <c r="P63" i="41" s="1"/>
  <c r="R63" i="41" s="1"/>
  <c r="T63" i="41" s="1"/>
  <c r="V63" i="41" s="1"/>
  <c r="X63" i="41" s="1"/>
  <c r="Z63" i="41" s="1"/>
  <c r="AB63" i="41" s="1"/>
  <c r="D10" i="40"/>
  <c r="D11" i="40"/>
  <c r="B28" i="2"/>
  <c r="D28" i="2"/>
  <c r="F28" i="2"/>
  <c r="D72" i="38"/>
  <c r="E71" i="38" s="1"/>
  <c r="B27" i="39"/>
  <c r="D27" i="39"/>
  <c r="B9" i="39"/>
  <c r="C7" i="39" s="1"/>
  <c r="D71" i="39"/>
  <c r="E64" i="39" s="1"/>
  <c r="B71" i="39"/>
  <c r="C64" i="39" s="1"/>
  <c r="B72" i="38"/>
  <c r="C70" i="38" s="1"/>
  <c r="G64" i="38"/>
  <c r="G68" i="38"/>
  <c r="G70" i="38"/>
  <c r="D9" i="39"/>
  <c r="E7" i="39" s="1"/>
  <c r="B56" i="38"/>
  <c r="D56" i="38"/>
  <c r="F22" i="38"/>
  <c r="F21" i="38"/>
  <c r="F26" i="38"/>
  <c r="F25" i="38"/>
  <c r="F19" i="38"/>
  <c r="D22" i="38"/>
  <c r="D21" i="38"/>
  <c r="D26" i="38"/>
  <c r="D25" i="38"/>
  <c r="D20" i="38"/>
  <c r="D24" i="38"/>
  <c r="D19" i="38"/>
  <c r="D18" i="38"/>
  <c r="D17" i="38"/>
  <c r="B22" i="38"/>
  <c r="B21" i="38"/>
  <c r="B26" i="38"/>
  <c r="B25" i="38"/>
  <c r="B24" i="38"/>
  <c r="B19" i="38"/>
  <c r="B18" i="38"/>
  <c r="B17" i="38"/>
  <c r="E66" i="40" l="1"/>
  <c r="E67" i="40" s="1"/>
  <c r="G67" i="40" s="1"/>
  <c r="H67" i="40" s="1"/>
  <c r="I67" i="40" s="1"/>
  <c r="J67" i="40" s="1"/>
  <c r="K67" i="40" s="1"/>
  <c r="L67" i="40" s="1"/>
  <c r="E57" i="40"/>
  <c r="E58" i="40" s="1"/>
  <c r="G58" i="40" s="1"/>
  <c r="H58" i="40" s="1"/>
  <c r="I58" i="40" s="1"/>
  <c r="J58" i="40" s="1"/>
  <c r="K58" i="40" s="1"/>
  <c r="L58" i="40" s="1"/>
  <c r="M58" i="40"/>
  <c r="E46" i="40"/>
  <c r="E47" i="40" s="1"/>
  <c r="G47" i="40" s="1"/>
  <c r="H47" i="40" s="1"/>
  <c r="I47" i="40" s="1"/>
  <c r="J47" i="40" s="1"/>
  <c r="K47" i="40" s="1"/>
  <c r="L47" i="40" s="1"/>
  <c r="AD11" i="41"/>
  <c r="AE10" i="41"/>
  <c r="E10" i="40"/>
  <c r="E11" i="40" s="1"/>
  <c r="G11" i="40" s="1"/>
  <c r="H11" i="40" s="1"/>
  <c r="I11" i="40" s="1"/>
  <c r="J11" i="40" s="1"/>
  <c r="K11" i="40" s="1"/>
  <c r="L11" i="40" s="1"/>
  <c r="M47" i="40"/>
  <c r="E38" i="40"/>
  <c r="AE37" i="41"/>
  <c r="E28" i="40"/>
  <c r="E29" i="40" s="1"/>
  <c r="G29" i="40" s="1"/>
  <c r="H29" i="40" s="1"/>
  <c r="I29" i="40" s="1"/>
  <c r="J29" i="40" s="1"/>
  <c r="K29" i="40" s="1"/>
  <c r="L29" i="40" s="1"/>
  <c r="AD29" i="41"/>
  <c r="D28" i="39"/>
  <c r="E25" i="39" s="1"/>
  <c r="B28" i="39"/>
  <c r="C22" i="39" s="1"/>
  <c r="M29" i="40"/>
  <c r="M67" i="40"/>
  <c r="M11" i="40"/>
  <c r="AD39" i="41"/>
  <c r="B27" i="38"/>
  <c r="D27" i="38"/>
  <c r="E65" i="39"/>
  <c r="E70" i="38"/>
  <c r="E63" i="39"/>
  <c r="E69" i="39"/>
  <c r="E67" i="39"/>
  <c r="C71" i="38"/>
  <c r="C65" i="39"/>
  <c r="C8" i="39"/>
  <c r="E70" i="39"/>
  <c r="E68" i="39"/>
  <c r="E66" i="39"/>
  <c r="C63" i="39"/>
  <c r="C5" i="39"/>
  <c r="C69" i="39"/>
  <c r="C67" i="39"/>
  <c r="C6" i="39"/>
  <c r="C70" i="39"/>
  <c r="C68" i="39"/>
  <c r="C66" i="39"/>
  <c r="B23" i="38"/>
  <c r="D23" i="38"/>
  <c r="E5" i="39"/>
  <c r="E8" i="39"/>
  <c r="E6" i="39"/>
  <c r="A26" i="37"/>
  <c r="B26" i="37"/>
  <c r="C26" i="37"/>
  <c r="D26" i="37"/>
  <c r="E26" i="37"/>
  <c r="F26" i="37"/>
  <c r="G26" i="37"/>
  <c r="H26" i="37"/>
  <c r="I26" i="37"/>
  <c r="J26" i="37"/>
  <c r="K26" i="37"/>
  <c r="A24" i="37"/>
  <c r="B24" i="37"/>
  <c r="C24" i="37"/>
  <c r="D24" i="37"/>
  <c r="E24" i="37"/>
  <c r="F24" i="37"/>
  <c r="G24" i="37"/>
  <c r="H24" i="37"/>
  <c r="J24" i="37"/>
  <c r="K24" i="37"/>
  <c r="A21" i="37"/>
  <c r="B21" i="37"/>
  <c r="C21" i="37"/>
  <c r="D21" i="37"/>
  <c r="G21" i="37"/>
  <c r="J21" i="37"/>
  <c r="K21" i="37"/>
  <c r="A25" i="37"/>
  <c r="B25" i="37"/>
  <c r="C25" i="37"/>
  <c r="D25" i="37"/>
  <c r="E25" i="37"/>
  <c r="F25" i="37"/>
  <c r="G25" i="37"/>
  <c r="H25" i="37"/>
  <c r="I25" i="37"/>
  <c r="J25" i="37"/>
  <c r="K25" i="37"/>
  <c r="A17" i="37"/>
  <c r="B17" i="37"/>
  <c r="C17" i="37"/>
  <c r="D17" i="37"/>
  <c r="E17" i="37"/>
  <c r="F17" i="37"/>
  <c r="G17" i="37"/>
  <c r="J17" i="37"/>
  <c r="K17" i="37"/>
  <c r="A14" i="37"/>
  <c r="B14" i="37"/>
  <c r="C14" i="37"/>
  <c r="D14" i="37"/>
  <c r="E14" i="37"/>
  <c r="F14" i="37"/>
  <c r="G14" i="37"/>
  <c r="H14" i="37"/>
  <c r="J14" i="37"/>
  <c r="K14" i="37"/>
  <c r="A18" i="37"/>
  <c r="B18" i="37"/>
  <c r="C18" i="37"/>
  <c r="D18" i="37"/>
  <c r="E18" i="37"/>
  <c r="F18" i="37"/>
  <c r="G18" i="37"/>
  <c r="J18" i="37"/>
  <c r="K18" i="37"/>
  <c r="A7" i="37"/>
  <c r="B7" i="37"/>
  <c r="C7" i="37"/>
  <c r="D7" i="37"/>
  <c r="E7" i="37"/>
  <c r="F7" i="37"/>
  <c r="G7" i="37"/>
  <c r="H7" i="37"/>
  <c r="J7" i="37"/>
  <c r="K7" i="37"/>
  <c r="A16" i="37"/>
  <c r="B16" i="37"/>
  <c r="C16" i="37"/>
  <c r="D16" i="37"/>
  <c r="E16" i="37"/>
  <c r="F16" i="37"/>
  <c r="G16" i="37"/>
  <c r="H16" i="37"/>
  <c r="J16" i="37"/>
  <c r="K16" i="37"/>
  <c r="A4" i="37"/>
  <c r="B4" i="37"/>
  <c r="C4" i="37"/>
  <c r="D4" i="37"/>
  <c r="E4" i="37"/>
  <c r="F4" i="37"/>
  <c r="G4" i="37"/>
  <c r="H4" i="37"/>
  <c r="J4" i="37"/>
  <c r="K4" i="37"/>
  <c r="A15" i="37"/>
  <c r="B15" i="37"/>
  <c r="C15" i="37"/>
  <c r="D15" i="37"/>
  <c r="E15" i="37"/>
  <c r="F15" i="37"/>
  <c r="G15" i="37"/>
  <c r="H15" i="37"/>
  <c r="J15" i="37"/>
  <c r="K15" i="37"/>
  <c r="A3" i="37"/>
  <c r="B3" i="37"/>
  <c r="C3" i="37"/>
  <c r="D3" i="37"/>
  <c r="E3" i="37"/>
  <c r="F3" i="37"/>
  <c r="G3" i="37"/>
  <c r="H3" i="37"/>
  <c r="J3" i="37"/>
  <c r="K3" i="37"/>
  <c r="A9" i="37"/>
  <c r="B9" i="37"/>
  <c r="C9" i="37"/>
  <c r="D9" i="37"/>
  <c r="E9" i="37"/>
  <c r="G9" i="37"/>
  <c r="H9" i="37"/>
  <c r="J9" i="37"/>
  <c r="K9" i="37"/>
  <c r="A8" i="37"/>
  <c r="B8" i="37"/>
  <c r="C8" i="37"/>
  <c r="D8" i="37"/>
  <c r="E8" i="37"/>
  <c r="F8" i="37"/>
  <c r="G8" i="37"/>
  <c r="H8" i="37"/>
  <c r="J8" i="37"/>
  <c r="K8" i="37"/>
  <c r="A19" i="37"/>
  <c r="B19" i="37"/>
  <c r="C19" i="37"/>
  <c r="D19" i="37"/>
  <c r="E19" i="37"/>
  <c r="F19" i="37"/>
  <c r="G19" i="37"/>
  <c r="J19" i="37"/>
  <c r="K19" i="37"/>
  <c r="A11" i="37"/>
  <c r="B11" i="37"/>
  <c r="C11" i="37"/>
  <c r="D11" i="37"/>
  <c r="E11" i="37"/>
  <c r="F11" i="37"/>
  <c r="G11" i="37"/>
  <c r="H11" i="37"/>
  <c r="J11" i="37"/>
  <c r="K11" i="37"/>
  <c r="A22" i="37"/>
  <c r="B22" i="37"/>
  <c r="C22" i="37"/>
  <c r="D22" i="37"/>
  <c r="E22" i="37"/>
  <c r="F22" i="37"/>
  <c r="G22" i="37"/>
  <c r="H22" i="37"/>
  <c r="I22" i="37"/>
  <c r="J22" i="37"/>
  <c r="K22" i="37"/>
  <c r="A5" i="37"/>
  <c r="B5" i="37"/>
  <c r="C5" i="37"/>
  <c r="D5" i="37"/>
  <c r="E5" i="37"/>
  <c r="F5" i="37"/>
  <c r="G5" i="37"/>
  <c r="H5" i="37"/>
  <c r="J5" i="37"/>
  <c r="K5" i="37"/>
  <c r="A20" i="37"/>
  <c r="B20" i="37"/>
  <c r="C20" i="37"/>
  <c r="D20" i="37"/>
  <c r="E20" i="37"/>
  <c r="F20" i="37"/>
  <c r="G20" i="37"/>
  <c r="H20" i="37"/>
  <c r="J20" i="37"/>
  <c r="K20" i="37"/>
  <c r="A10" i="37"/>
  <c r="B10" i="37"/>
  <c r="C10" i="37"/>
  <c r="D10" i="37"/>
  <c r="E10" i="37"/>
  <c r="G10" i="37"/>
  <c r="H10" i="37"/>
  <c r="J10" i="37"/>
  <c r="K10" i="37"/>
  <c r="A23" i="37"/>
  <c r="B23" i="37"/>
  <c r="C23" i="37"/>
  <c r="D23" i="37"/>
  <c r="E23" i="37"/>
  <c r="F23" i="37"/>
  <c r="G23" i="37"/>
  <c r="H23" i="37"/>
  <c r="I23" i="37"/>
  <c r="J23" i="37"/>
  <c r="K23" i="37"/>
  <c r="A6" i="37"/>
  <c r="B6" i="37"/>
  <c r="C6" i="37"/>
  <c r="D6" i="37"/>
  <c r="E6" i="37"/>
  <c r="F6" i="37"/>
  <c r="G6" i="37"/>
  <c r="H6" i="37"/>
  <c r="J6" i="37"/>
  <c r="K6" i="37"/>
  <c r="A12" i="37"/>
  <c r="B12" i="37"/>
  <c r="C12" i="37"/>
  <c r="D12" i="37"/>
  <c r="E12" i="37"/>
  <c r="G12" i="37"/>
  <c r="H12" i="37"/>
  <c r="J12" i="37"/>
  <c r="K12" i="37"/>
  <c r="K13" i="37"/>
  <c r="J13" i="37"/>
  <c r="H13" i="37"/>
  <c r="G13" i="37"/>
  <c r="F13" i="37"/>
  <c r="E13" i="37"/>
  <c r="D13" i="37"/>
  <c r="B13" i="37"/>
  <c r="C13" i="37"/>
  <c r="A13" i="37"/>
  <c r="AC28" i="1"/>
  <c r="L13" i="74" s="1"/>
  <c r="AF28" i="1" l="1"/>
  <c r="L14" i="74" s="1"/>
  <c r="E40" i="40"/>
  <c r="E41" i="40" s="1"/>
  <c r="G41" i="40" s="1"/>
  <c r="H41" i="40" s="1"/>
  <c r="I41" i="40" s="1"/>
  <c r="J41" i="40" s="1"/>
  <c r="K41" i="40" s="1"/>
  <c r="L41" i="40" s="1"/>
  <c r="M38" i="40"/>
  <c r="M41" i="40" s="1"/>
  <c r="C20" i="39"/>
  <c r="C21" i="39"/>
  <c r="E26" i="39"/>
  <c r="C18" i="39"/>
  <c r="C24" i="39"/>
  <c r="E19" i="39"/>
  <c r="E17" i="39"/>
  <c r="E18" i="39"/>
  <c r="E22" i="39"/>
  <c r="E20" i="39"/>
  <c r="E21" i="39"/>
  <c r="E24" i="39"/>
  <c r="C25" i="39"/>
  <c r="C17" i="39"/>
  <c r="C19" i="39"/>
  <c r="C26" i="39"/>
  <c r="B28" i="38"/>
  <c r="D28" i="38"/>
  <c r="E71" i="39"/>
  <c r="C9" i="39"/>
  <c r="C71" i="39"/>
  <c r="E9" i="39"/>
  <c r="E65" i="38"/>
  <c r="C65" i="38"/>
  <c r="C66" i="38"/>
  <c r="C67" i="38"/>
  <c r="C68" i="38"/>
  <c r="C69" i="38"/>
  <c r="C64" i="38"/>
  <c r="D28" i="37"/>
  <c r="AC46" i="1"/>
  <c r="L13" i="92" s="1"/>
  <c r="AC32" i="1"/>
  <c r="L13" i="78" s="1"/>
  <c r="AC31" i="1"/>
  <c r="L13" i="77" s="1"/>
  <c r="AC30" i="1"/>
  <c r="L13" i="76" s="1"/>
  <c r="AC34" i="1"/>
  <c r="L13" i="80" s="1"/>
  <c r="AC29" i="1"/>
  <c r="L13" i="75" s="1"/>
  <c r="AC39" i="1"/>
  <c r="L13" i="85" s="1"/>
  <c r="AC41" i="1"/>
  <c r="L13" i="87" s="1"/>
  <c r="AC27" i="1"/>
  <c r="L13" i="73" s="1"/>
  <c r="AC37" i="1"/>
  <c r="L13" i="83" s="1"/>
  <c r="AC33" i="1"/>
  <c r="L13" i="79" s="1"/>
  <c r="AC26" i="1"/>
  <c r="L13" i="72" s="1"/>
  <c r="AD38" i="1"/>
  <c r="L15" i="84" s="1"/>
  <c r="AF26" i="1" l="1"/>
  <c r="L14" i="72" s="1"/>
  <c r="AF41" i="1"/>
  <c r="L14" i="87" s="1"/>
  <c r="AF32" i="1"/>
  <c r="L14" i="78" s="1"/>
  <c r="C23" i="39"/>
  <c r="C27" i="39"/>
  <c r="E27" i="39"/>
  <c r="E23" i="39"/>
  <c r="C72" i="38"/>
  <c r="AF34" i="1"/>
  <c r="L14" i="80" s="1"/>
  <c r="E68" i="38"/>
  <c r="E64" i="38"/>
  <c r="E66" i="38"/>
  <c r="E69" i="38"/>
  <c r="E67" i="38"/>
  <c r="C17" i="38"/>
  <c r="C25" i="38"/>
  <c r="C20" i="38"/>
  <c r="C26" i="38"/>
  <c r="E18" i="38"/>
  <c r="E20" i="38"/>
  <c r="E26" i="38"/>
  <c r="E25" i="38"/>
  <c r="C22" i="38"/>
  <c r="E19" i="38"/>
  <c r="C18" i="38"/>
  <c r="E24" i="38"/>
  <c r="C19" i="38"/>
  <c r="E21" i="38"/>
  <c r="C24" i="38"/>
  <c r="E17" i="38"/>
  <c r="E22" i="38"/>
  <c r="C21" i="38"/>
  <c r="AC38" i="1"/>
  <c r="L13" i="84" s="1"/>
  <c r="AF33" i="1"/>
  <c r="L14" i="79" s="1"/>
  <c r="AF46" i="1"/>
  <c r="L14" i="92" s="1"/>
  <c r="AI26" i="1"/>
  <c r="L18" i="72" s="1"/>
  <c r="AI46" i="1"/>
  <c r="L18" i="92" s="1"/>
  <c r="C28" i="39" l="1"/>
  <c r="E28" i="39"/>
  <c r="E27" i="38"/>
  <c r="E23" i="38"/>
  <c r="C27" i="38"/>
  <c r="C23" i="38"/>
  <c r="E72" i="38"/>
  <c r="AJ46" i="1"/>
  <c r="AI40" i="1"/>
  <c r="L18" i="86" s="1"/>
  <c r="AI41" i="1"/>
  <c r="L18" i="87" s="1"/>
  <c r="BI46" i="1" l="1"/>
  <c r="L17" i="92"/>
  <c r="BK46" i="1"/>
  <c r="BL46" i="1"/>
  <c r="I24" i="37"/>
  <c r="E28" i="38"/>
  <c r="C28" i="38"/>
  <c r="AI34" i="1"/>
  <c r="L18" i="80" s="1"/>
  <c r="AJ34" i="1" l="1"/>
  <c r="L17" i="80" s="1"/>
  <c r="AB33" i="1"/>
  <c r="L10" i="79" l="1"/>
  <c r="F7" i="2"/>
  <c r="BH34" i="1"/>
  <c r="BK34" i="1"/>
  <c r="BJ34" i="1"/>
  <c r="BL34" i="1"/>
  <c r="I20" i="37"/>
  <c r="H18" i="37"/>
  <c r="AJ39" i="1"/>
  <c r="L17" i="85" s="1"/>
  <c r="I11" i="37" l="1"/>
  <c r="AL37" i="1"/>
  <c r="AF37" i="1"/>
  <c r="L14" i="83" s="1"/>
  <c r="AF36" i="1"/>
  <c r="L14" i="82" s="1"/>
  <c r="AC36" i="1" l="1"/>
  <c r="L13" i="82" s="1"/>
  <c r="AD36" i="1" l="1"/>
  <c r="L15" i="82" s="1"/>
  <c r="C76" i="2" l="1"/>
  <c r="AJ87" i="1"/>
  <c r="AF74" i="1"/>
  <c r="AC87" i="1"/>
  <c r="AF87" i="1" s="1"/>
  <c r="AC65" i="1"/>
  <c r="AF65" i="1" s="1"/>
  <c r="AC67" i="1"/>
  <c r="AF67" i="1" s="1"/>
  <c r="AC68" i="1"/>
  <c r="AF68" i="1" s="1"/>
  <c r="AC69" i="1"/>
  <c r="AF69" i="1" s="1"/>
  <c r="AC70" i="1"/>
  <c r="AF70" i="1" s="1"/>
  <c r="AC71" i="1"/>
  <c r="AF71" i="1" s="1"/>
  <c r="AC72" i="1"/>
  <c r="AF72" i="1" s="1"/>
  <c r="AC75" i="1"/>
  <c r="AF75" i="1" s="1"/>
  <c r="AC43" i="1"/>
  <c r="L13" i="89" s="1"/>
  <c r="AC42" i="1"/>
  <c r="L13" i="88" s="1"/>
  <c r="F21" i="66"/>
  <c r="D62" i="1"/>
  <c r="D47" i="1"/>
  <c r="F32" i="1"/>
  <c r="F21" i="78" s="1"/>
  <c r="F30" i="1"/>
  <c r="F21" i="76" s="1"/>
  <c r="F21" i="74"/>
  <c r="D79" i="2"/>
  <c r="AJ41" i="1"/>
  <c r="L17" i="87" s="1"/>
  <c r="AH42" i="1"/>
  <c r="L16" i="88" s="1"/>
  <c r="BG71" i="1"/>
  <c r="BG72" i="1"/>
  <c r="BG73" i="1"/>
  <c r="BG77" i="1"/>
  <c r="BG75" i="1"/>
  <c r="BG76" i="1"/>
  <c r="BG39" i="1"/>
  <c r="L23" i="85" s="1"/>
  <c r="BG68" i="1"/>
  <c r="BG69" i="1"/>
  <c r="BG70" i="1"/>
  <c r="BG35" i="1"/>
  <c r="L23" i="81" s="1"/>
  <c r="BG42" i="1"/>
  <c r="L23" i="88" s="1"/>
  <c r="BG30" i="1"/>
  <c r="L23" i="76" s="1"/>
  <c r="BG28" i="1"/>
  <c r="L23" i="74" s="1"/>
  <c r="BG29" i="1"/>
  <c r="L23" i="75" s="1"/>
  <c r="BG31" i="1"/>
  <c r="L23" i="77" s="1"/>
  <c r="BG37" i="1"/>
  <c r="L23" i="83" s="1"/>
  <c r="BG38" i="1"/>
  <c r="BG47" i="1"/>
  <c r="L23" i="66" s="1"/>
  <c r="BG61" i="1"/>
  <c r="BG32" i="1"/>
  <c r="BG62" i="1"/>
  <c r="BG63" i="1"/>
  <c r="BG64" i="1"/>
  <c r="BG65" i="1"/>
  <c r="BG66" i="1"/>
  <c r="BG67" i="1"/>
  <c r="AP25" i="1"/>
  <c r="AQ25" i="1" s="1"/>
  <c r="AR25" i="1" s="1"/>
  <c r="BE25" i="1" s="1"/>
  <c r="BH25" i="1" s="1"/>
  <c r="BI25" i="1" s="1"/>
  <c r="BJ25" i="1" s="1"/>
  <c r="BK25" i="1" s="1"/>
  <c r="BL25" i="1" s="1"/>
  <c r="BM25" i="1" s="1"/>
  <c r="AB62" i="1"/>
  <c r="AB47" i="1"/>
  <c r="L10" i="66" s="1"/>
  <c r="AB35" i="1"/>
  <c r="AB40" i="1"/>
  <c r="AJ30" i="1"/>
  <c r="L17" i="76" s="1"/>
  <c r="AJ27" i="1"/>
  <c r="L17" i="73" s="1"/>
  <c r="AJ29" i="1"/>
  <c r="L17" i="75" s="1"/>
  <c r="AJ86" i="1"/>
  <c r="AJ43" i="1"/>
  <c r="L17" i="89" s="1"/>
  <c r="AC77" i="1"/>
  <c r="AF77" i="1" s="1"/>
  <c r="AI28" i="1"/>
  <c r="L18" i="74" s="1"/>
  <c r="AB73" i="1"/>
  <c r="AC73" i="1" s="1"/>
  <c r="AF73" i="1" s="1"/>
  <c r="AB61" i="1"/>
  <c r="AB86" i="1"/>
  <c r="AC86" i="1" s="1"/>
  <c r="AF86" i="1" s="1"/>
  <c r="AH77" i="1"/>
  <c r="AI77" i="1" s="1"/>
  <c r="AJ77" i="1" s="1"/>
  <c r="H77" i="1"/>
  <c r="S87" i="1"/>
  <c r="G97" i="1"/>
  <c r="AI38" i="1"/>
  <c r="L18" i="84" s="1"/>
  <c r="AL27" i="1"/>
  <c r="AB69" i="1"/>
  <c r="AH69" i="1" s="1"/>
  <c r="AB68" i="1"/>
  <c r="AB67" i="1"/>
  <c r="AB64" i="1"/>
  <c r="AC64" i="1" s="1"/>
  <c r="AF64" i="1" s="1"/>
  <c r="AB65" i="1"/>
  <c r="AB66" i="1"/>
  <c r="AB63" i="1"/>
  <c r="AH63" i="1" s="1"/>
  <c r="AJ63" i="1" s="1"/>
  <c r="AB72" i="1"/>
  <c r="AB75" i="1"/>
  <c r="AI71" i="1"/>
  <c r="AJ71" i="1" s="1"/>
  <c r="AB70" i="1"/>
  <c r="F70" i="39" s="1"/>
  <c r="T97" i="1"/>
  <c r="AJ31" i="1"/>
  <c r="L17" i="77" s="1"/>
  <c r="AJ40" i="1"/>
  <c r="L17" i="86" s="1"/>
  <c r="AJ36" i="1"/>
  <c r="L17" i="82" s="1"/>
  <c r="AJ37" i="1"/>
  <c r="L17" i="83" s="1"/>
  <c r="F68" i="39" l="1"/>
  <c r="F63" i="39"/>
  <c r="F64" i="38"/>
  <c r="F69" i="39"/>
  <c r="F64" i="39"/>
  <c r="F65" i="38"/>
  <c r="F67" i="39"/>
  <c r="F66" i="39"/>
  <c r="F6" i="39"/>
  <c r="L23" i="78"/>
  <c r="F36" i="11"/>
  <c r="F24" i="39"/>
  <c r="F27" i="39" s="1"/>
  <c r="F21" i="39"/>
  <c r="F23" i="39" s="1"/>
  <c r="L10" i="86"/>
  <c r="F9" i="2"/>
  <c r="F7" i="39"/>
  <c r="F19" i="2"/>
  <c r="F18" i="39"/>
  <c r="F8" i="39"/>
  <c r="L10" i="81"/>
  <c r="F5" i="39"/>
  <c r="F17" i="39"/>
  <c r="F6" i="2"/>
  <c r="F18" i="2"/>
  <c r="F65" i="39"/>
  <c r="F75" i="2"/>
  <c r="L23" i="84"/>
  <c r="F51" i="11"/>
  <c r="H28" i="11"/>
  <c r="F54" i="39"/>
  <c r="F50" i="39"/>
  <c r="D52" i="39"/>
  <c r="B54" i="39"/>
  <c r="B50" i="39"/>
  <c r="D54" i="39"/>
  <c r="B52" i="39"/>
  <c r="F49" i="39"/>
  <c r="B53" i="39"/>
  <c r="F51" i="39"/>
  <c r="D53" i="39"/>
  <c r="D49" i="39"/>
  <c r="B51" i="39"/>
  <c r="F52" i="39"/>
  <c r="D50" i="39"/>
  <c r="F53" i="39"/>
  <c r="D51" i="39"/>
  <c r="B49" i="39"/>
  <c r="F37" i="39"/>
  <c r="D37" i="39"/>
  <c r="B37" i="39"/>
  <c r="F41" i="2"/>
  <c r="D41" i="2"/>
  <c r="D39" i="39"/>
  <c r="D43" i="2"/>
  <c r="D36" i="39"/>
  <c r="B36" i="39"/>
  <c r="F44" i="2"/>
  <c r="F38" i="39"/>
  <c r="D38" i="39"/>
  <c r="B38" i="39"/>
  <c r="F42" i="2"/>
  <c r="D42" i="2"/>
  <c r="F39" i="39"/>
  <c r="B39" i="39"/>
  <c r="F43" i="2"/>
  <c r="F36" i="39"/>
  <c r="D44" i="2"/>
  <c r="F62" i="2"/>
  <c r="D64" i="2"/>
  <c r="D60" i="2"/>
  <c r="B62" i="2"/>
  <c r="F64" i="2"/>
  <c r="D62" i="2"/>
  <c r="B60" i="2"/>
  <c r="D63" i="2"/>
  <c r="B61" i="2"/>
  <c r="F63" i="2"/>
  <c r="F59" i="2"/>
  <c r="D61" i="2"/>
  <c r="B63" i="2"/>
  <c r="B59" i="2"/>
  <c r="F60" i="2"/>
  <c r="B64" i="2"/>
  <c r="F61" i="2"/>
  <c r="D59" i="2"/>
  <c r="F8" i="66"/>
  <c r="B42" i="2"/>
  <c r="B44" i="2"/>
  <c r="B41" i="2"/>
  <c r="B43" i="2"/>
  <c r="I10" i="37"/>
  <c r="I8" i="37"/>
  <c r="I3" i="37"/>
  <c r="I15" i="37"/>
  <c r="I7" i="37"/>
  <c r="I6" i="37"/>
  <c r="I4" i="37"/>
  <c r="I19" i="37"/>
  <c r="I5" i="37"/>
  <c r="AH66" i="1"/>
  <c r="AJ66" i="1" s="1"/>
  <c r="B24" i="2"/>
  <c r="B33" i="2" s="1"/>
  <c r="AH65" i="1"/>
  <c r="AJ65" i="1" s="1"/>
  <c r="F68" i="38"/>
  <c r="AH67" i="1"/>
  <c r="AI67" i="1" s="1"/>
  <c r="AJ67" i="1" s="1"/>
  <c r="F8" i="38"/>
  <c r="AH70" i="1"/>
  <c r="AI70" i="1" s="1"/>
  <c r="AJ70" i="1" s="1"/>
  <c r="F71" i="38"/>
  <c r="AH72" i="1"/>
  <c r="AI72" i="1" s="1"/>
  <c r="AJ72" i="1" s="1"/>
  <c r="F20" i="38"/>
  <c r="F23" i="38" s="1"/>
  <c r="F69" i="38"/>
  <c r="AH68" i="1"/>
  <c r="AI68" i="1" s="1"/>
  <c r="AJ68" i="1" s="1"/>
  <c r="F70" i="38"/>
  <c r="F67" i="38"/>
  <c r="F51" i="38"/>
  <c r="F50" i="38"/>
  <c r="F66" i="38"/>
  <c r="D40" i="39"/>
  <c r="F40" i="39"/>
  <c r="B40" i="39"/>
  <c r="BG82" i="1"/>
  <c r="F38" i="38"/>
  <c r="F36" i="38"/>
  <c r="F39" i="38"/>
  <c r="F37" i="38"/>
  <c r="H21" i="37"/>
  <c r="D6" i="38"/>
  <c r="B7" i="38"/>
  <c r="B5" i="38"/>
  <c r="D7" i="38"/>
  <c r="D5" i="38"/>
  <c r="B6" i="38"/>
  <c r="AH75" i="1"/>
  <c r="AI75" i="1" s="1"/>
  <c r="AJ75" i="1" s="1"/>
  <c r="F24" i="38"/>
  <c r="F27" i="38" s="1"/>
  <c r="AC66" i="1"/>
  <c r="AF66" i="1" s="1"/>
  <c r="F5" i="38"/>
  <c r="AC61" i="1"/>
  <c r="AF61" i="1" s="1"/>
  <c r="F17" i="38"/>
  <c r="F6" i="38"/>
  <c r="F18" i="38"/>
  <c r="AC62" i="1"/>
  <c r="AF62" i="1" s="1"/>
  <c r="F7" i="38"/>
  <c r="D38" i="38"/>
  <c r="D36" i="38"/>
  <c r="B38" i="38"/>
  <c r="B36" i="38"/>
  <c r="D39" i="38"/>
  <c r="D37" i="38"/>
  <c r="B39" i="38"/>
  <c r="B37" i="38"/>
  <c r="D40" i="38"/>
  <c r="F40" i="38"/>
  <c r="B40" i="38"/>
  <c r="E21" i="37"/>
  <c r="F21" i="37"/>
  <c r="H19" i="37"/>
  <c r="F9" i="37"/>
  <c r="F12" i="37"/>
  <c r="AD43" i="1"/>
  <c r="L15" i="89" s="1"/>
  <c r="H17" i="37"/>
  <c r="F10" i="37"/>
  <c r="AD42" i="1"/>
  <c r="L15" i="88" s="1"/>
  <c r="AC63" i="1"/>
  <c r="AF63" i="1" s="1"/>
  <c r="AB97" i="1"/>
  <c r="BH30" i="1"/>
  <c r="BK40" i="1"/>
  <c r="BH40" i="1"/>
  <c r="BL40" i="1"/>
  <c r="BJ40" i="1"/>
  <c r="BK41" i="1"/>
  <c r="BI41" i="1"/>
  <c r="BJ41" i="1"/>
  <c r="D24" i="2"/>
  <c r="D33" i="2" s="1"/>
  <c r="AC35" i="1"/>
  <c r="L13" i="81" s="1"/>
  <c r="AC47" i="1"/>
  <c r="L13" i="66" s="1"/>
  <c r="AJ32" i="1"/>
  <c r="L17" i="78" s="1"/>
  <c r="AH61" i="1"/>
  <c r="AJ61" i="1" s="1"/>
  <c r="AH47" i="1"/>
  <c r="L16" i="66" s="1"/>
  <c r="AF42" i="1"/>
  <c r="L14" i="88" s="1"/>
  <c r="AF43" i="1"/>
  <c r="L14" i="89" s="1"/>
  <c r="AJ28" i="1"/>
  <c r="L17" i="74" s="1"/>
  <c r="AI42" i="1"/>
  <c r="L18" i="88" s="1"/>
  <c r="AF39" i="1"/>
  <c r="L14" i="85" s="1"/>
  <c r="AF38" i="1"/>
  <c r="L14" i="84" s="1"/>
  <c r="AJ38" i="1"/>
  <c r="L17" i="84" s="1"/>
  <c r="AH64" i="1"/>
  <c r="AJ64" i="1" s="1"/>
  <c r="AH62" i="1"/>
  <c r="AJ62" i="1" s="1"/>
  <c r="AH35" i="1"/>
  <c r="L16" i="81" s="1"/>
  <c r="D10" i="2"/>
  <c r="F24" i="2"/>
  <c r="AH73" i="1"/>
  <c r="AI73" i="1" s="1"/>
  <c r="AJ73" i="1" s="1"/>
  <c r="E76" i="2"/>
  <c r="C75" i="2"/>
  <c r="B10" i="2"/>
  <c r="AI69" i="1"/>
  <c r="AJ69" i="1" s="1"/>
  <c r="C74" i="2"/>
  <c r="C77" i="2"/>
  <c r="E73" i="2"/>
  <c r="E75" i="2"/>
  <c r="E77" i="2"/>
  <c r="E74" i="2"/>
  <c r="B45" i="2"/>
  <c r="F45" i="2"/>
  <c r="D45" i="2"/>
  <c r="E9" i="2" l="1"/>
  <c r="E8" i="2"/>
  <c r="C6" i="2"/>
  <c r="C8" i="2"/>
  <c r="BI30" i="1"/>
  <c r="AF35" i="1"/>
  <c r="L14" i="81" s="1"/>
  <c r="AC97" i="1"/>
  <c r="I9" i="37"/>
  <c r="F28" i="39"/>
  <c r="I12" i="37"/>
  <c r="BG41" i="1"/>
  <c r="BE83" i="1"/>
  <c r="AH97" i="1"/>
  <c r="B55" i="39"/>
  <c r="C49" i="39" s="1"/>
  <c r="D55" i="39"/>
  <c r="E50" i="39" s="1"/>
  <c r="F33" i="2"/>
  <c r="F71" i="39"/>
  <c r="C18" i="2"/>
  <c r="C26" i="2"/>
  <c r="C27" i="2"/>
  <c r="C25" i="2"/>
  <c r="E26" i="2"/>
  <c r="E27" i="2"/>
  <c r="E25" i="2"/>
  <c r="F28" i="38"/>
  <c r="F72" i="38"/>
  <c r="F55" i="39"/>
  <c r="G49" i="39" s="1"/>
  <c r="F41" i="39"/>
  <c r="G36" i="39" s="1"/>
  <c r="B41" i="39"/>
  <c r="C36" i="39" s="1"/>
  <c r="F56" i="38"/>
  <c r="G53" i="38" s="1"/>
  <c r="F9" i="39"/>
  <c r="G5" i="39" s="1"/>
  <c r="G65" i="38"/>
  <c r="G72" i="38" s="1"/>
  <c r="D41" i="39"/>
  <c r="E40" i="39" s="1"/>
  <c r="D65" i="2"/>
  <c r="E64" i="2" s="1"/>
  <c r="B65" i="2"/>
  <c r="C64" i="2" s="1"/>
  <c r="F65" i="2"/>
  <c r="G61" i="2" s="1"/>
  <c r="F9" i="38"/>
  <c r="G8" i="38" s="1"/>
  <c r="D9" i="38"/>
  <c r="E8" i="38" s="1"/>
  <c r="B9" i="38"/>
  <c r="C8" i="38" s="1"/>
  <c r="F41" i="38"/>
  <c r="G37" i="38" s="1"/>
  <c r="C55" i="38"/>
  <c r="B41" i="38"/>
  <c r="C40" i="38" s="1"/>
  <c r="D41" i="38"/>
  <c r="E39" i="38" s="1"/>
  <c r="E54" i="38"/>
  <c r="E51" i="38"/>
  <c r="H28" i="37"/>
  <c r="I13" i="37"/>
  <c r="AD35" i="1"/>
  <c r="L15" i="81" s="1"/>
  <c r="AD47" i="1"/>
  <c r="L15" i="66" s="1"/>
  <c r="E7" i="2"/>
  <c r="F79" i="2"/>
  <c r="C23" i="2"/>
  <c r="E19" i="2"/>
  <c r="E22" i="2"/>
  <c r="E18" i="2"/>
  <c r="E23" i="2"/>
  <c r="E20" i="2"/>
  <c r="E24" i="2"/>
  <c r="AJ35" i="1"/>
  <c r="L17" i="81" s="1"/>
  <c r="AF47" i="1"/>
  <c r="L14" i="66" s="1"/>
  <c r="AJ47" i="1"/>
  <c r="AJ42" i="1"/>
  <c r="L17" i="88" s="1"/>
  <c r="C24" i="2"/>
  <c r="E6" i="2"/>
  <c r="AJ26" i="1"/>
  <c r="L17" i="72" s="1"/>
  <c r="C9" i="2"/>
  <c r="C7" i="2"/>
  <c r="C22" i="2"/>
  <c r="C20" i="2"/>
  <c r="C19" i="2"/>
  <c r="C78" i="2"/>
  <c r="C79" i="2" s="1"/>
  <c r="E78" i="2"/>
  <c r="E79" i="2" s="1"/>
  <c r="D46" i="2"/>
  <c r="E41" i="2" s="1"/>
  <c r="AI33" i="1"/>
  <c r="L18" i="79" s="1"/>
  <c r="F10" i="2"/>
  <c r="AI97" i="1"/>
  <c r="F46" i="2"/>
  <c r="G44" i="2" s="1"/>
  <c r="B46" i="2"/>
  <c r="C44" i="2" s="1"/>
  <c r="G7" i="2" l="1"/>
  <c r="G8" i="2"/>
  <c r="L23" i="87"/>
  <c r="F56" i="11"/>
  <c r="AF97" i="1"/>
  <c r="I14" i="37"/>
  <c r="I21" i="37"/>
  <c r="L17" i="66"/>
  <c r="I16" i="37"/>
  <c r="I17" i="37"/>
  <c r="E53" i="39"/>
  <c r="C50" i="39"/>
  <c r="E52" i="39"/>
  <c r="G8" i="39"/>
  <c r="E49" i="39"/>
  <c r="E51" i="39"/>
  <c r="E54" i="39"/>
  <c r="C28" i="2"/>
  <c r="C33" i="2" s="1"/>
  <c r="C51" i="39"/>
  <c r="C54" i="39"/>
  <c r="C53" i="39"/>
  <c r="C52" i="39"/>
  <c r="G50" i="39"/>
  <c r="C38" i="39"/>
  <c r="C37" i="39"/>
  <c r="C40" i="39"/>
  <c r="G19" i="2"/>
  <c r="G26" i="2"/>
  <c r="G27" i="2"/>
  <c r="G25" i="2"/>
  <c r="E28" i="2"/>
  <c r="E33" i="2" s="1"/>
  <c r="E7" i="38"/>
  <c r="E6" i="38"/>
  <c r="E37" i="39"/>
  <c r="G40" i="39"/>
  <c r="G37" i="39"/>
  <c r="G39" i="39"/>
  <c r="G6" i="39"/>
  <c r="G7" i="39"/>
  <c r="C39" i="39"/>
  <c r="G38" i="39"/>
  <c r="E36" i="39"/>
  <c r="E38" i="39"/>
  <c r="E39" i="39"/>
  <c r="G52" i="39"/>
  <c r="G54" i="39"/>
  <c r="G51" i="39"/>
  <c r="G53" i="39"/>
  <c r="G40" i="38"/>
  <c r="C5" i="38"/>
  <c r="G7" i="38"/>
  <c r="C51" i="38"/>
  <c r="C54" i="38"/>
  <c r="C53" i="38"/>
  <c r="C37" i="38"/>
  <c r="G51" i="38"/>
  <c r="G50" i="38"/>
  <c r="G52" i="38"/>
  <c r="C50" i="38"/>
  <c r="C52" i="38"/>
  <c r="C7" i="38"/>
  <c r="C6" i="38"/>
  <c r="E5" i="38"/>
  <c r="E37" i="38"/>
  <c r="G39" i="38"/>
  <c r="G38" i="38"/>
  <c r="E36" i="38"/>
  <c r="C36" i="38"/>
  <c r="G5" i="38"/>
  <c r="G6" i="38"/>
  <c r="E55" i="38"/>
  <c r="E52" i="38"/>
  <c r="E53" i="38"/>
  <c r="G55" i="38"/>
  <c r="C38" i="38"/>
  <c r="E40" i="38"/>
  <c r="E50" i="38"/>
  <c r="G54" i="38"/>
  <c r="E38" i="38"/>
  <c r="C39" i="38"/>
  <c r="G36" i="38"/>
  <c r="AJ33" i="1"/>
  <c r="BG26" i="1"/>
  <c r="BI26" i="1"/>
  <c r="E10" i="2"/>
  <c r="C10" i="2"/>
  <c r="AJ97" i="1"/>
  <c r="E42" i="2"/>
  <c r="G20" i="2"/>
  <c r="G18" i="2"/>
  <c r="G22" i="2"/>
  <c r="G24" i="2"/>
  <c r="G23" i="2"/>
  <c r="G60" i="2"/>
  <c r="C63" i="2"/>
  <c r="G45" i="2"/>
  <c r="G63" i="2"/>
  <c r="G64" i="2"/>
  <c r="G59" i="2"/>
  <c r="G62" i="2"/>
  <c r="C62" i="2"/>
  <c r="C60" i="2"/>
  <c r="C59" i="2"/>
  <c r="C61" i="2"/>
  <c r="E59" i="2"/>
  <c r="E63" i="2"/>
  <c r="E61" i="2"/>
  <c r="E60" i="2"/>
  <c r="E62" i="2"/>
  <c r="G43" i="2"/>
  <c r="G42" i="2"/>
  <c r="G9" i="2"/>
  <c r="C45" i="2"/>
  <c r="C42" i="2"/>
  <c r="C41" i="2"/>
  <c r="E44" i="2"/>
  <c r="E43" i="2"/>
  <c r="G6" i="2"/>
  <c r="E45" i="2"/>
  <c r="C43" i="2"/>
  <c r="G41" i="2"/>
  <c r="BK33" i="1" l="1"/>
  <c r="L17" i="79"/>
  <c r="BI57" i="1"/>
  <c r="BI83" i="1" s="1"/>
  <c r="G66" i="39" s="1"/>
  <c r="L23" i="72"/>
  <c r="F41" i="11"/>
  <c r="BG57" i="1"/>
  <c r="BG83" i="1" s="1"/>
  <c r="G64" i="39" s="1"/>
  <c r="BH33" i="1"/>
  <c r="I18" i="37"/>
  <c r="I28" i="37" s="1"/>
  <c r="BL33" i="1"/>
  <c r="BJ33" i="1"/>
  <c r="E55" i="39"/>
  <c r="E56" i="38"/>
  <c r="C55" i="39"/>
  <c r="G28" i="2"/>
  <c r="G33" i="2" s="1"/>
  <c r="C41" i="39"/>
  <c r="G55" i="39"/>
  <c r="G9" i="39"/>
  <c r="E9" i="38"/>
  <c r="G41" i="39"/>
  <c r="C56" i="38"/>
  <c r="G56" i="38"/>
  <c r="G26" i="39"/>
  <c r="G22" i="39"/>
  <c r="G20" i="39"/>
  <c r="G25" i="39"/>
  <c r="G19" i="39"/>
  <c r="G24" i="39"/>
  <c r="G18" i="39"/>
  <c r="G17" i="39"/>
  <c r="G21" i="39"/>
  <c r="E41" i="39"/>
  <c r="G65" i="2"/>
  <c r="E65" i="2"/>
  <c r="C65" i="2"/>
  <c r="C41" i="38"/>
  <c r="G9" i="38"/>
  <c r="G41" i="38"/>
  <c r="C9" i="38"/>
  <c r="G20" i="38"/>
  <c r="G25" i="38"/>
  <c r="G26" i="38"/>
  <c r="G19" i="38"/>
  <c r="G22" i="38"/>
  <c r="G21" i="38"/>
  <c r="G18" i="38"/>
  <c r="G17" i="38"/>
  <c r="G24" i="38"/>
  <c r="E41" i="38"/>
  <c r="BJ26" i="1"/>
  <c r="BJ57" i="1" s="1"/>
  <c r="G10" i="2"/>
  <c r="G46" i="2"/>
  <c r="C46" i="2"/>
  <c r="E46" i="2"/>
  <c r="BH57" i="1" l="1"/>
  <c r="BH83" i="1" s="1"/>
  <c r="G65" i="39" s="1"/>
  <c r="BL57" i="1"/>
  <c r="BL83" i="1" s="1"/>
  <c r="G69" i="39" s="1"/>
  <c r="BK57" i="1"/>
  <c r="BK83" i="1" s="1"/>
  <c r="G68" i="39" s="1"/>
  <c r="BJ83" i="1"/>
  <c r="G67" i="39" s="1"/>
  <c r="G27" i="39"/>
  <c r="G23" i="39"/>
  <c r="G27" i="38"/>
  <c r="G23" i="38"/>
  <c r="G73" i="2"/>
  <c r="G74" i="2"/>
  <c r="G75" i="2"/>
  <c r="G76" i="2"/>
  <c r="G78" i="2" l="1"/>
  <c r="G71" i="39"/>
  <c r="G77" i="2"/>
  <c r="G28" i="38"/>
  <c r="G28" i="39"/>
  <c r="G7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lbrace</author>
    <author xml:space="preserve"> </author>
    <author>tmastracci</author>
    <author>mangelini</author>
  </authors>
  <commentList>
    <comment ref="AF26" authorId="0" shapeId="0" xr:uid="{00000000-0006-0000-0800-000001000000}">
      <text>
        <r>
          <rPr>
            <b/>
            <sz val="8"/>
            <color indexed="81"/>
            <rFont val="Tahoma"/>
            <family val="2"/>
          </rPr>
          <t>lbrace:</t>
        </r>
        <r>
          <rPr>
            <sz val="8"/>
            <color indexed="81"/>
            <rFont val="Tahoma"/>
            <family val="2"/>
          </rPr>
          <t xml:space="preserve">
LIHTC equity only.
</t>
        </r>
      </text>
    </comment>
    <comment ref="BE26" authorId="1" shapeId="0" xr:uid="{00000000-0006-0000-0800-000002000000}">
      <text>
        <r>
          <rPr>
            <b/>
            <sz val="8"/>
            <color indexed="81"/>
            <rFont val="Tahoma"/>
            <family val="2"/>
          </rPr>
          <t xml:space="preserve"> </t>
        </r>
        <r>
          <rPr>
            <sz val="8"/>
            <color indexed="81"/>
            <rFont val="Tahoma"/>
            <family val="2"/>
          </rPr>
          <t>May change to $970,682 (25% of TDC) and change to Dec 12</t>
        </r>
      </text>
    </comment>
    <comment ref="BF27" authorId="2" shapeId="0" xr:uid="{00000000-0006-0000-0800-000003000000}">
      <text>
        <r>
          <rPr>
            <b/>
            <sz val="9"/>
            <color indexed="81"/>
            <rFont val="Tahoma"/>
            <family val="2"/>
          </rPr>
          <t>tmastracci:</t>
        </r>
        <r>
          <rPr>
            <sz val="9"/>
            <color indexed="81"/>
            <rFont val="Tahoma"/>
            <family val="2"/>
          </rPr>
          <t xml:space="preserve">
Changed to 25% per the negative adjuster amd beiong conservative per Jane</t>
        </r>
      </text>
    </comment>
    <comment ref="BF28" authorId="2" shapeId="0" xr:uid="{00000000-0006-0000-0800-000004000000}">
      <text>
        <r>
          <rPr>
            <b/>
            <sz val="9"/>
            <color indexed="81"/>
            <rFont val="Tahoma"/>
            <family val="2"/>
          </rPr>
          <t>tmastracci:</t>
        </r>
        <r>
          <rPr>
            <sz val="9"/>
            <color indexed="81"/>
            <rFont val="Tahoma"/>
            <family val="2"/>
          </rPr>
          <t xml:space="preserve">
changed to 50% per 1st quarter financial memo - Jane asked to move back to 90%</t>
        </r>
      </text>
    </comment>
    <comment ref="AK38" authorId="1" shapeId="0" xr:uid="{00000000-0006-0000-0800-000005000000}">
      <text>
        <r>
          <rPr>
            <b/>
            <sz val="8"/>
            <color indexed="81"/>
            <rFont val="Tahoma"/>
            <family val="2"/>
          </rPr>
          <t>Construction Guarantee Fee</t>
        </r>
      </text>
    </comment>
    <comment ref="BD39" authorId="2" shapeId="0" xr:uid="{00000000-0006-0000-0800-000006000000}">
      <text>
        <r>
          <rPr>
            <b/>
            <sz val="9"/>
            <color indexed="81"/>
            <rFont val="Tahoma"/>
            <family val="2"/>
          </rPr>
          <t>tmastracci:</t>
        </r>
        <r>
          <rPr>
            <sz val="9"/>
            <color indexed="81"/>
            <rFont val="Tahoma"/>
            <family val="2"/>
          </rPr>
          <t xml:space="preserve">
$225,256 was moved to October 2013
</t>
        </r>
      </text>
    </comment>
    <comment ref="A71" authorId="3" shapeId="0" xr:uid="{00000000-0006-0000-0800-000007000000}">
      <text>
        <r>
          <rPr>
            <b/>
            <sz val="9"/>
            <color indexed="81"/>
            <rFont val="Tahoma"/>
            <family val="2"/>
          </rPr>
          <t>mangelini:</t>
        </r>
        <r>
          <rPr>
            <sz val="9"/>
            <color indexed="81"/>
            <rFont val="Tahoma"/>
            <family val="2"/>
          </rPr>
          <t xml:space="preserve">
the three phases of copley should go away … we can do that after the current budget projections exercise more thoughtfully as to what we’d replace them with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Susan Beaman</author>
  </authors>
  <commentList>
    <comment ref="L30" authorId="0" shapeId="0" xr:uid="{2D741FB7-272A-4E9F-A921-93946931195E}">
      <text>
        <r>
          <rPr>
            <b/>
            <sz val="9"/>
            <color indexed="81"/>
            <rFont val="Tahoma"/>
            <family val="2"/>
          </rPr>
          <t>Susan Beaman:</t>
        </r>
        <r>
          <rPr>
            <sz val="9"/>
            <color indexed="81"/>
            <rFont val="Tahoma"/>
            <family val="2"/>
          </rPr>
          <t xml:space="preserve">
Removed $100,000 for recently approved surplus cash note for Lincoln Villas.  Need to confirm amount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mangelini</author>
  </authors>
  <commentList>
    <comment ref="A26" authorId="0" shapeId="0" xr:uid="{00000000-0006-0000-0100-000001000000}">
      <text>
        <r>
          <rPr>
            <b/>
            <sz val="9"/>
            <color indexed="81"/>
            <rFont val="Tahoma"/>
            <family val="2"/>
          </rPr>
          <t>mangelini:</t>
        </r>
        <r>
          <rPr>
            <sz val="9"/>
            <color indexed="81"/>
            <rFont val="Tahoma"/>
            <family val="2"/>
          </rPr>
          <t xml:space="preserve">
This should be moved to active projects section.</t>
        </r>
      </text>
    </comment>
    <comment ref="A30" authorId="0" shapeId="0" xr:uid="{00000000-0006-0000-0100-000002000000}">
      <text>
        <r>
          <rPr>
            <b/>
            <sz val="9"/>
            <color indexed="81"/>
            <rFont val="Tahoma"/>
            <family val="2"/>
          </rPr>
          <t>mangelini:</t>
        </r>
        <r>
          <rPr>
            <sz val="9"/>
            <color indexed="81"/>
            <rFont val="Tahoma"/>
            <family val="2"/>
          </rPr>
          <t xml:space="preserve">
This should be moved to active projects section.</t>
        </r>
      </text>
    </comment>
    <comment ref="A55" authorId="0" shapeId="0" xr:uid="{00000000-0006-0000-0100-000003000000}">
      <text>
        <r>
          <rPr>
            <b/>
            <sz val="9"/>
            <color indexed="81"/>
            <rFont val="Tahoma"/>
            <family val="2"/>
          </rPr>
          <t>mangelini:</t>
        </r>
        <r>
          <rPr>
            <sz val="9"/>
            <color indexed="81"/>
            <rFont val="Tahoma"/>
            <family val="2"/>
          </rPr>
          <t xml:space="preserve">
This should be moved up to the active projects section.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gellefson</author>
  </authors>
  <commentList>
    <comment ref="B36" authorId="0" shapeId="0" xr:uid="{00000000-0006-0000-2300-000001000000}">
      <text>
        <r>
          <rPr>
            <b/>
            <sz val="8"/>
            <color indexed="81"/>
            <rFont val="Tahoma"/>
            <family val="2"/>
          </rPr>
          <t>gellefson:</t>
        </r>
        <r>
          <rPr>
            <sz val="8"/>
            <color indexed="81"/>
            <rFont val="Tahoma"/>
            <family val="2"/>
          </rPr>
          <t xml:space="preserve">
aka mercy senior residences</t>
        </r>
      </text>
    </comment>
    <comment ref="B37" authorId="0" shapeId="0" xr:uid="{00000000-0006-0000-2300-000002000000}">
      <text>
        <r>
          <rPr>
            <b/>
            <sz val="8"/>
            <color indexed="81"/>
            <rFont val="Tahoma"/>
            <family val="2"/>
          </rPr>
          <t>gellefson:</t>
        </r>
        <r>
          <rPr>
            <sz val="8"/>
            <color indexed="81"/>
            <rFont val="Tahoma"/>
            <family val="2"/>
          </rPr>
          <t xml:space="preserve">
aka greenwich park apts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tmastracci</author>
    <author>gellefson</author>
  </authors>
  <commentList>
    <comment ref="J5" authorId="0" shapeId="0" xr:uid="{00000000-0006-0000-2400-000001000000}">
      <text>
        <r>
          <rPr>
            <b/>
            <sz val="9"/>
            <color indexed="81"/>
            <rFont val="Tahoma"/>
            <family val="2"/>
          </rPr>
          <t>tmastracci:</t>
        </r>
        <r>
          <rPr>
            <sz val="9"/>
            <color indexed="81"/>
            <rFont val="Tahoma"/>
            <family val="2"/>
          </rPr>
          <t xml:space="preserve">
Paydown occurred in March</t>
        </r>
      </text>
    </comment>
    <comment ref="B35" authorId="1" shapeId="0" xr:uid="{00000000-0006-0000-2400-000002000000}">
      <text>
        <r>
          <rPr>
            <b/>
            <sz val="8"/>
            <color indexed="81"/>
            <rFont val="Tahoma"/>
            <family val="2"/>
          </rPr>
          <t>gellefson:</t>
        </r>
        <r>
          <rPr>
            <sz val="8"/>
            <color indexed="81"/>
            <rFont val="Tahoma"/>
            <family val="2"/>
          </rPr>
          <t xml:space="preserve">
aka mercy senior residences</t>
        </r>
      </text>
    </comment>
    <comment ref="B36" authorId="1" shapeId="0" xr:uid="{00000000-0006-0000-2400-000003000000}">
      <text>
        <r>
          <rPr>
            <b/>
            <sz val="8"/>
            <color indexed="81"/>
            <rFont val="Tahoma"/>
            <family val="2"/>
          </rPr>
          <t>gellefson:</t>
        </r>
        <r>
          <rPr>
            <sz val="8"/>
            <color indexed="81"/>
            <rFont val="Tahoma"/>
            <family val="2"/>
          </rPr>
          <t xml:space="preserve">
aka greenwich park apts</t>
        </r>
      </text>
    </comment>
  </commentList>
</comments>
</file>

<file path=xl/sharedStrings.xml><?xml version="1.0" encoding="utf-8"?>
<sst xmlns="http://schemas.openxmlformats.org/spreadsheetml/2006/main" count="15611" uniqueCount="921">
  <si>
    <t>Project</t>
  </si>
  <si>
    <t>City</t>
  </si>
  <si>
    <t>App Yr</t>
  </si>
  <si>
    <t>Grayslake Senior</t>
  </si>
  <si>
    <t>Grayslake</t>
  </si>
  <si>
    <t>Danville</t>
  </si>
  <si>
    <t>Danville Indep Senior</t>
  </si>
  <si>
    <t>26th &amp; Kostner</t>
  </si>
  <si>
    <t>Chicago</t>
  </si>
  <si>
    <t>Construction Type</t>
  </si>
  <si>
    <t>Copley Site</t>
  </si>
  <si>
    <t>Pullman Wheelworks</t>
  </si>
  <si>
    <t>TOTALS</t>
  </si>
  <si>
    <t>EST % Afford</t>
  </si>
  <si>
    <t>TBD</t>
  </si>
  <si>
    <t xml:space="preserve">JV/Sole </t>
  </si>
  <si>
    <t>Sole</t>
  </si>
  <si>
    <t>IFF</t>
  </si>
  <si>
    <t>Heartland</t>
  </si>
  <si>
    <t>Johnston Center</t>
  </si>
  <si>
    <t>Milwaukee</t>
  </si>
  <si>
    <t>2008/09</t>
  </si>
  <si>
    <t>Englewood</t>
  </si>
  <si>
    <t>Malden Arms</t>
  </si>
  <si>
    <t>Acquisition Costs</t>
  </si>
  <si>
    <t>Donated</t>
  </si>
  <si>
    <t>JV - Contrib</t>
  </si>
  <si>
    <t>EST TDC for Phase  (in millions)</t>
  </si>
  <si>
    <t>Form of Site Control</t>
  </si>
  <si>
    <t>MOU</t>
  </si>
  <si>
    <t>Own</t>
  </si>
  <si>
    <t>Offer</t>
  </si>
  <si>
    <t>No. of Units</t>
  </si>
  <si>
    <t>% of Total</t>
  </si>
  <si>
    <t>Aurora</t>
  </si>
  <si>
    <t>TOTAL</t>
  </si>
  <si>
    <t>Type of Project</t>
  </si>
  <si>
    <t>Project Area</t>
  </si>
  <si>
    <t>DEVELOPMENT PIPELINE DETAIL</t>
  </si>
  <si>
    <t>Countryside Senior Apts</t>
  </si>
  <si>
    <t>Countryside</t>
  </si>
  <si>
    <t>JV</t>
  </si>
  <si>
    <t>No of Units</t>
  </si>
  <si>
    <t>09-C</t>
  </si>
  <si>
    <t>Total Development Costs</t>
  </si>
  <si>
    <t>Stage of Development</t>
  </si>
  <si>
    <t>Development Stage</t>
  </si>
  <si>
    <t>Kane County Health Dept/COA</t>
  </si>
  <si>
    <t xml:space="preserve">Prince Hall </t>
  </si>
  <si>
    <t>NHS</t>
  </si>
  <si>
    <t>Library Mall</t>
  </si>
  <si>
    <t>Roseland Place</t>
  </si>
  <si>
    <t>Firethorne</t>
  </si>
  <si>
    <t>Royal Imperial</t>
  </si>
  <si>
    <t>Feasibility</t>
  </si>
  <si>
    <t>Closing</t>
  </si>
  <si>
    <t>Homan Square (Phase 2)</t>
  </si>
  <si>
    <t>Copley Site (Phase 1)</t>
  </si>
  <si>
    <t>Prince Hall (Phase 1)</t>
  </si>
  <si>
    <t>REAL ESTATE DEVELOPMENT PROJECT REPORTING SUMMARY</t>
  </si>
  <si>
    <t>RPC Approval</t>
  </si>
  <si>
    <t>Due Diligence</t>
  </si>
  <si>
    <t>Financing</t>
  </si>
  <si>
    <t xml:space="preserve">Construction </t>
  </si>
  <si>
    <t xml:space="preserve">C. of O. </t>
  </si>
  <si>
    <t>Cost Cert</t>
  </si>
  <si>
    <t>DONE</t>
  </si>
  <si>
    <t>N/A</t>
  </si>
  <si>
    <t>UNDERWAY</t>
  </si>
  <si>
    <t>NOTES</t>
  </si>
  <si>
    <t>NOTES:</t>
  </si>
  <si>
    <t>Developer: Lyon</t>
  </si>
  <si>
    <t>Developer: Brace</t>
  </si>
  <si>
    <t>26th &amp; Kostner (all other Phases)</t>
  </si>
  <si>
    <t>Developer: TBD</t>
  </si>
  <si>
    <t>Developer:  Brace</t>
  </si>
  <si>
    <t>REPORTS ON PIPELINE</t>
  </si>
  <si>
    <t>Galewood SLF</t>
  </si>
  <si>
    <t>MHL-NNCHC ILF</t>
  </si>
  <si>
    <t>NNCHC</t>
  </si>
  <si>
    <t>PROJECTS UNDER DUE DILIGENCE</t>
  </si>
  <si>
    <t>PROJECTS UNDER FEASIBILITY</t>
  </si>
  <si>
    <t>Westside Resyndication</t>
  </si>
  <si>
    <t xml:space="preserve">GC:  </t>
  </si>
  <si>
    <t>Future phases</t>
  </si>
  <si>
    <t>5th Ward Senior Project</t>
  </si>
  <si>
    <t>Johnston Center 2</t>
  </si>
  <si>
    <t>New City of Milw/USBank Site</t>
  </si>
  <si>
    <t>PSA</t>
  </si>
  <si>
    <t>MOA</t>
  </si>
  <si>
    <t>Est DDF</t>
  </si>
  <si>
    <t>Developer</t>
  </si>
  <si>
    <t>$/Credit</t>
  </si>
  <si>
    <t>Sterling Park</t>
  </si>
  <si>
    <t>Developer:  Reyes</t>
  </si>
  <si>
    <t>Developer: Reyes</t>
  </si>
  <si>
    <t>PROJECTS UNDER REVIEW</t>
  </si>
  <si>
    <t>YMCA Austin</t>
  </si>
  <si>
    <t>100% Occupancy</t>
  </si>
  <si>
    <t>ü</t>
  </si>
  <si>
    <t>Final draw submitted; vendors with outstanding claims are going through the bonding company for funding; working through warranty issues with roof and glass; working on final reconciliation and escrow closeout</t>
  </si>
  <si>
    <t>IFF converted loan to perm and draw #20 submitted with final developer fee in December 2011</t>
  </si>
  <si>
    <t>Third capital installment submitted and approved; cost cert finalized</t>
  </si>
  <si>
    <t>PROJECTS IN OPERATIONS</t>
  </si>
  <si>
    <t>PROJECTS CLOSING IN CURRENT YEAR</t>
  </si>
  <si>
    <t>Keating</t>
  </si>
  <si>
    <t>Kankakee</t>
  </si>
  <si>
    <t>15 Year Refi Uptown</t>
  </si>
  <si>
    <t>Submitted tax credit application to IHDA in December 2011</t>
  </si>
  <si>
    <t>A Blakley</t>
  </si>
  <si>
    <t>L Brace</t>
  </si>
  <si>
    <t>New Construction</t>
  </si>
  <si>
    <t>Development</t>
  </si>
  <si>
    <t>Milwaukee - Johnston Center</t>
  </si>
  <si>
    <t>Milwaukee Greenwich Apartments</t>
  </si>
  <si>
    <t>Prospect</t>
  </si>
  <si>
    <t>Construction</t>
  </si>
  <si>
    <t>850 N Eastwood</t>
  </si>
  <si>
    <t>D Lyon</t>
  </si>
  <si>
    <t>Operations</t>
  </si>
  <si>
    <t>Net 2012</t>
  </si>
  <si>
    <t>B Thapar</t>
  </si>
  <si>
    <t>M Angelini</t>
  </si>
  <si>
    <t>L Reyes</t>
  </si>
  <si>
    <t>Danville VA Hospital Site</t>
  </si>
  <si>
    <t>Indianapolis SRO PSH</t>
  </si>
  <si>
    <t>Indianapolis</t>
  </si>
  <si>
    <t>Jefferson Barracks</t>
  </si>
  <si>
    <t>St Louis</t>
  </si>
  <si>
    <t>PROJECTS NOT IN ACTIVE PIPELINE</t>
  </si>
  <si>
    <t>Land Lease</t>
  </si>
  <si>
    <t>Pullman Wheelworks, Phase 2</t>
  </si>
  <si>
    <t>none</t>
  </si>
  <si>
    <t>non</t>
  </si>
  <si>
    <t>Workforce</t>
  </si>
  <si>
    <t>Predevelopment</t>
  </si>
  <si>
    <t xml:space="preserve">Senior </t>
  </si>
  <si>
    <t xml:space="preserve">Family </t>
  </si>
  <si>
    <t>Special Needs (PSH)</t>
  </si>
  <si>
    <t>PROJECTS TRANSFERRED TO ASSET MANAGEMENT AND OUT OF ACTIVE PIPELINE</t>
  </si>
  <si>
    <t>Refinance/Rehab</t>
  </si>
  <si>
    <t>LIHTC - 9%</t>
  </si>
  <si>
    <t>Date of Close</t>
  </si>
  <si>
    <t>No. of Projects</t>
  </si>
  <si>
    <t>Closings by Year</t>
  </si>
  <si>
    <t>Year of Closing</t>
  </si>
  <si>
    <t>PROJECT TYPE</t>
  </si>
  <si>
    <t>PROJECTS BY GEOGRAPHIC AREA</t>
  </si>
  <si>
    <t>PROJECTS BY CONSTRUCTION TYPE</t>
  </si>
  <si>
    <t>STAGES OF DEVELOPMENT BY PROJECT</t>
  </si>
  <si>
    <t>*Does not include projects closed before 2011 or projects with TBD closing dates</t>
  </si>
  <si>
    <t>PIPELINE TOTALS</t>
  </si>
  <si>
    <t>Rehab</t>
  </si>
  <si>
    <t>Operations - Sub Phase Lease Up</t>
  </si>
  <si>
    <t>Operations - Sub Phase Close Out</t>
  </si>
  <si>
    <t>Senior</t>
  </si>
  <si>
    <t>Family</t>
  </si>
  <si>
    <t>Population Served - Primary</t>
  </si>
  <si>
    <t>Population Served - 2nd</t>
  </si>
  <si>
    <t>Population Served - 3rd</t>
  </si>
  <si>
    <t>Resident Services Program Model</t>
  </si>
  <si>
    <t>Diabled</t>
  </si>
  <si>
    <t>Homeless</t>
  </si>
  <si>
    <t>Senior - Frail</t>
  </si>
  <si>
    <t>Senior - Independent</t>
  </si>
  <si>
    <t>Vets</t>
  </si>
  <si>
    <t>Disabled - Chronically Mentally Ill</t>
  </si>
  <si>
    <t>Disabled - Developmentally</t>
  </si>
  <si>
    <t>Disabled - Physically</t>
  </si>
  <si>
    <t>Dual Diagnosis</t>
  </si>
  <si>
    <t>Seniors</t>
  </si>
  <si>
    <t>Supportive</t>
  </si>
  <si>
    <t>Resident Services Type</t>
  </si>
  <si>
    <t>Case Management - In House</t>
  </si>
  <si>
    <t>Case Management - 3rd party</t>
  </si>
  <si>
    <t>Service Coordination</t>
  </si>
  <si>
    <t>Program - In House</t>
  </si>
  <si>
    <t>Program - 3rd Party</t>
  </si>
  <si>
    <t>Government Contracts</t>
  </si>
  <si>
    <t>Property Operations</t>
  </si>
  <si>
    <t>Philanthropy</t>
  </si>
  <si>
    <t>Primary Source of Service Funding</t>
  </si>
  <si>
    <t>Financing - Primary</t>
  </si>
  <si>
    <t>Financing - 2nd</t>
  </si>
  <si>
    <t>Financing - 3rd</t>
  </si>
  <si>
    <t>Financing - 4th</t>
  </si>
  <si>
    <t>% Complete</t>
  </si>
  <si>
    <t>Est Start Construction</t>
  </si>
  <si>
    <t>Est End Construction</t>
  </si>
  <si>
    <t>Grant Funding - Public or Private</t>
  </si>
  <si>
    <t>HUD 202</t>
  </si>
  <si>
    <t>HUD 811</t>
  </si>
  <si>
    <t>LIHTC - 4%</t>
  </si>
  <si>
    <t>AHP</t>
  </si>
  <si>
    <t>Bond</t>
  </si>
  <si>
    <t>CDBG</t>
  </si>
  <si>
    <t>Federal: HUD</t>
  </si>
  <si>
    <t>Federal: VA</t>
  </si>
  <si>
    <t>HOME</t>
  </si>
  <si>
    <t>Local: City/County Funding</t>
  </si>
  <si>
    <t>Local: Other</t>
  </si>
  <si>
    <t>Local: State Funding</t>
  </si>
  <si>
    <t>NSP</t>
  </si>
  <si>
    <t>TCAP</t>
  </si>
  <si>
    <t>Harold Washington Apts</t>
  </si>
  <si>
    <t>Mercy Housing/Ickes Site</t>
  </si>
  <si>
    <t>Conventional Financing</t>
  </si>
  <si>
    <t>Cntgncy</t>
  </si>
  <si>
    <t>Drop Down</t>
  </si>
  <si>
    <t>Hidden</t>
  </si>
  <si>
    <t>If Formula, Orange Text</t>
  </si>
  <si>
    <t>3rd Party</t>
  </si>
  <si>
    <t>DEMOGRAPHICS</t>
  </si>
  <si>
    <t>Project Type</t>
  </si>
  <si>
    <t>Location</t>
  </si>
  <si>
    <t>Number of Units</t>
  </si>
  <si>
    <t>Population Served</t>
  </si>
  <si>
    <t>Funding Source</t>
  </si>
  <si>
    <t>FINANCING</t>
  </si>
  <si>
    <t>Primary Financing</t>
  </si>
  <si>
    <t>Gross Developer Fee</t>
  </si>
  <si>
    <t>Deferred Developer Fee</t>
  </si>
  <si>
    <t>CURRENT STATUS</t>
  </si>
  <si>
    <t>Date of Deal Close</t>
  </si>
  <si>
    <t>Start of Construction</t>
  </si>
  <si>
    <t>End of Construction</t>
  </si>
  <si>
    <t>Percent Complete</t>
  </si>
  <si>
    <t>Developer Fee Received To Date</t>
  </si>
  <si>
    <t>2012 Net Developer Fee Forecast</t>
  </si>
  <si>
    <t>Operations - Lease Up</t>
  </si>
  <si>
    <t>Operations - Close Out</t>
  </si>
  <si>
    <t>Close Year</t>
  </si>
  <si>
    <t>Net Developer Fee**</t>
  </si>
  <si>
    <t>Total Develop. Costs</t>
  </si>
  <si>
    <t>Management Company</t>
  </si>
  <si>
    <t>MHMG</t>
  </si>
  <si>
    <t>Leasing &amp; Mgmt Corp.</t>
  </si>
  <si>
    <t>Pathways</t>
  </si>
  <si>
    <t>SCHEDULE OF PROJECT CLOSINGS AND DEVELOPER FEES BY YEAR*</t>
  </si>
  <si>
    <t>**The net developer fee is for projects closing in that year and projects closed in previous years</t>
  </si>
  <si>
    <t>DEVELOPER FEES</t>
  </si>
  <si>
    <t>No. ( for fomula in Pipeline Summary)</t>
  </si>
  <si>
    <t xml:space="preserve">26th &amp; Kostner/Keating </t>
  </si>
  <si>
    <t>Englewood Apartments</t>
  </si>
  <si>
    <t>Danville VA Hospital Site - Phase 2</t>
  </si>
  <si>
    <t>Ground Lease</t>
  </si>
  <si>
    <t>Land lease</t>
  </si>
  <si>
    <t>Acquisition/ Rehab</t>
  </si>
  <si>
    <t>Adaptive/ Rehab</t>
  </si>
  <si>
    <t>Refinance/ Rehab</t>
  </si>
  <si>
    <t>Special Needs</t>
  </si>
  <si>
    <t>TOTAL Estimated Tax Credit Award</t>
  </si>
  <si>
    <t xml:space="preserve">TOTAL Estimated Tax Credit Equity </t>
  </si>
  <si>
    <t>Other Fees</t>
  </si>
  <si>
    <t>ANNUAL Estimated Tax Credit  Award</t>
  </si>
  <si>
    <t>Annual Tax Credit Award</t>
  </si>
  <si>
    <t>Total Tax Credit Award</t>
  </si>
  <si>
    <t>Total Tax Credit Equity</t>
  </si>
  <si>
    <t>PROJECT NAME</t>
  </si>
  <si>
    <t>Est Gross Developer Fee</t>
  </si>
  <si>
    <t>Est Paid Developer Fee</t>
  </si>
  <si>
    <t>5th Ward Senior Project/ Milwaukee</t>
  </si>
  <si>
    <t>St. Louis</t>
  </si>
  <si>
    <t>For Sale</t>
  </si>
  <si>
    <t>Collar Counties</t>
  </si>
  <si>
    <t>Downstate/ Other States</t>
  </si>
  <si>
    <t>Pipeline Demographics - ALL Projects</t>
  </si>
  <si>
    <t>Pipeline Demographics - ACTIVE Projects</t>
  </si>
  <si>
    <t>Pipeline Demographics - INACTIVE Projects</t>
  </si>
  <si>
    <t>Principle Balance 12/31/11</t>
  </si>
  <si>
    <t>Obligation as of 12/31/11</t>
  </si>
  <si>
    <t>2012
Revenue Source/ Strategy</t>
  </si>
  <si>
    <t>Project Balance</t>
  </si>
  <si>
    <t>PREDEVELOPMENT LOC</t>
  </si>
  <si>
    <t>ALLSTATE LINE OF CREDIT</t>
  </si>
  <si>
    <t>$1M due in 2015</t>
  </si>
  <si>
    <t>Unbudgeted revenue from Denis Pierce, 180 Properties and Roseland</t>
  </si>
  <si>
    <t>Danville Senior Campus</t>
  </si>
  <si>
    <t>Grayslake SLF Apartments</t>
  </si>
  <si>
    <t>Kane County NSP</t>
  </si>
  <si>
    <t>Copley Redevelopment</t>
  </si>
  <si>
    <t>TOTAL OBLIGATION</t>
  </si>
  <si>
    <t>LOC RUNNING BALANCE</t>
  </si>
  <si>
    <t>MACARTHUR LINE OF CREDIT</t>
  </si>
  <si>
    <t>$1.75 due in 2018</t>
  </si>
  <si>
    <t>Englewood - Developer Fee</t>
  </si>
  <si>
    <t>To be paid down with developer fees - need to determine if we pay down MHL LOC or MacArthur first, using available cash; does not appear to have enough cash to pay both down</t>
  </si>
  <si>
    <t>Englewood - Development</t>
  </si>
  <si>
    <t>Harold Washington - Construction</t>
  </si>
  <si>
    <t>Open during construction - to be paid down using funds from the 850 operating account</t>
  </si>
  <si>
    <t>850 Eastwood - Construction</t>
  </si>
  <si>
    <t>Open during construction - to be paid down at construction close</t>
  </si>
  <si>
    <t>Countryside - Developer Fee</t>
  </si>
  <si>
    <t>To be paid off at receipt of final developer fee in 2012</t>
  </si>
  <si>
    <t>HWA-850 Eastwood Developer Fee</t>
  </si>
  <si>
    <t>To be paid down with deffered developer fees</t>
  </si>
  <si>
    <t>Aurora/Galena</t>
  </si>
  <si>
    <t>Harold Washington - Operating</t>
  </si>
  <si>
    <t>Malden Arms II - Operating</t>
  </si>
  <si>
    <t>Analyzing monthly cash flow; putting together a schedule of paydown and if cash flow is the source of the paydown</t>
  </si>
  <si>
    <t>Belray</t>
  </si>
  <si>
    <t>Pay off at resyndication in Dec 2012</t>
  </si>
  <si>
    <t>Delmar</t>
  </si>
  <si>
    <t>Major Jenkins</t>
  </si>
  <si>
    <t>MHI LINE OF CREDIT - CHASE</t>
  </si>
  <si>
    <t>26th &amp; Kostner (Keating Bldg)</t>
  </si>
  <si>
    <t>To be paid down in December 2012 at close</t>
  </si>
  <si>
    <t>Architect for $15k  (expecting $15k from Enterprise)</t>
  </si>
  <si>
    <t>Grayslake Senior Housing</t>
  </si>
  <si>
    <t>Milwaukee 5th Ward Senior Housing</t>
  </si>
  <si>
    <t>Rescoping the deal to make it work under 4%; new numbers upcoming</t>
  </si>
  <si>
    <t>Milwaukee East Side Workforce Housing</t>
  </si>
  <si>
    <t xml:space="preserve">Rescoping the deal to make it work under 4%; new numbers upcoming </t>
  </si>
  <si>
    <t>Division &amp; Clybourn (Near North 2)</t>
  </si>
  <si>
    <t>Sterling Park Apartments</t>
  </si>
  <si>
    <t>To be paid down in July 2012 at close</t>
  </si>
  <si>
    <t>MHI LINE OF CREDIT - MACARTHUR</t>
  </si>
  <si>
    <t>Austin YMCA Redevelopment</t>
  </si>
  <si>
    <t>DEVELOPMENT LOC</t>
  </si>
  <si>
    <t>To be repaid from escrow; doing a reconciliation of the escrow balance sheet</t>
  </si>
  <si>
    <t>850 Eastwood</t>
  </si>
  <si>
    <t>Talk to Gary and see where this is coming from; should this be closed? Bobby has talked with Gary will pay through a draw</t>
  </si>
  <si>
    <t>Countryside Senior Apartments</t>
  </si>
  <si>
    <t>All building operations - fronted to the property; strategy for payback needs to be determined</t>
  </si>
  <si>
    <t>Run the G/L -- determine what the costs are and work on a strategy repayment</t>
  </si>
  <si>
    <t>Harold Washington</t>
  </si>
  <si>
    <t>OPERATING LOC</t>
  </si>
  <si>
    <t>Parkside Terraces</t>
  </si>
  <si>
    <t>Wentworth Commons</t>
  </si>
  <si>
    <t>Holland Apartments</t>
  </si>
  <si>
    <t>Jan</t>
  </si>
  <si>
    <t>Feb</t>
  </si>
  <si>
    <t>Mar</t>
  </si>
  <si>
    <t>Apr</t>
  </si>
  <si>
    <t>May</t>
  </si>
  <si>
    <t>Jun</t>
  </si>
  <si>
    <t>Jul</t>
  </si>
  <si>
    <t>Aug</t>
  </si>
  <si>
    <t>Sep</t>
  </si>
  <si>
    <t>Oct</t>
  </si>
  <si>
    <t>Nov</t>
  </si>
  <si>
    <t>Dec</t>
  </si>
  <si>
    <t>Equity</t>
  </si>
  <si>
    <t>Net Developer Fee</t>
  </si>
  <si>
    <t>First Dev Coord Mtg</t>
  </si>
  <si>
    <t>Pre Closing Meeting with Denver</t>
  </si>
  <si>
    <t xml:space="preserve">Construction Start </t>
  </si>
  <si>
    <t>Project Draw Management Set Up</t>
  </si>
  <si>
    <t>Project Completion/PIS/C.O.</t>
  </si>
  <si>
    <t>Turn Over to Asset Mng</t>
  </si>
  <si>
    <t>NAME OF PROJECT</t>
  </si>
  <si>
    <t>LOCATION OF PROJECT:</t>
  </si>
  <si>
    <t>LEAD DEVELOPER</t>
  </si>
  <si>
    <t>BUSINESS PLAN ACTIVITY</t>
  </si>
  <si>
    <t>INTIAL PROJECT FEASIBILITY</t>
  </si>
  <si>
    <t>Project Set Up Form Completed</t>
  </si>
  <si>
    <t>Photos</t>
  </si>
  <si>
    <t>Preliminary Pro Forma</t>
  </si>
  <si>
    <t>Proposed Site Control Details</t>
  </si>
  <si>
    <t>Executed MOU with Seller</t>
  </si>
  <si>
    <t>Existing Seller Reports</t>
  </si>
  <si>
    <t>Preliminary Site Program</t>
  </si>
  <si>
    <t>Feasibility Period LOC</t>
  </si>
  <si>
    <t>LOC setup and modification</t>
  </si>
  <si>
    <t>Check Requests</t>
  </si>
  <si>
    <t>LOC Log</t>
  </si>
  <si>
    <t>Cost Coding of all expenses</t>
  </si>
  <si>
    <t>Preliminary Municipal/Political Scan</t>
  </si>
  <si>
    <t>Current Zoning</t>
  </si>
  <si>
    <t>Political Acceptance of Project</t>
  </si>
  <si>
    <t>Available Subsidies</t>
  </si>
  <si>
    <t>Preliminary Neighborhood Scan</t>
  </si>
  <si>
    <t>Environmental Issues</t>
  </si>
  <si>
    <t>Site Construction Issues</t>
  </si>
  <si>
    <t>Identify Primary Financing Program</t>
  </si>
  <si>
    <t>Preliminary Line of Credit for Feasibility Stage</t>
  </si>
  <si>
    <t>Detail of Line of Credit needed for Due Diligence/Design</t>
  </si>
  <si>
    <t>APPROVAL TO PROCEED BY MHL PRESIDENT/SVP</t>
  </si>
  <si>
    <t>REQUEST FOR PROJECT CONCEPT APPROVAL</t>
  </si>
  <si>
    <t>PUBLIC FINANCING APPLICATIONS</t>
  </si>
  <si>
    <t>Pre Application</t>
  </si>
  <si>
    <t>9% LIHTC</t>
  </si>
  <si>
    <t>4% Bond</t>
  </si>
  <si>
    <t>HOME/CDBG Funds</t>
  </si>
  <si>
    <t>Trust Funds</t>
  </si>
  <si>
    <t>Grants</t>
  </si>
  <si>
    <t>Operating Subsidy</t>
  </si>
  <si>
    <t>Detailed Capital Structure</t>
  </si>
  <si>
    <t>Pro Forma's</t>
  </si>
  <si>
    <t>Debt</t>
  </si>
  <si>
    <t>Subsidy/Gap</t>
  </si>
  <si>
    <t>Capital Partners (LOI/Commitment Letters)</t>
  </si>
  <si>
    <t>i. Letter Of Intent</t>
  </si>
  <si>
    <t>ii. Commitment Letters</t>
  </si>
  <si>
    <t>iii. Financial Projections</t>
  </si>
  <si>
    <t>Equity (NMTC/LIHTC/HTC/ETC)</t>
  </si>
  <si>
    <t>iv. Limited Partnership Agreement</t>
  </si>
  <si>
    <t>PROJECT DUE DILIGENCE</t>
  </si>
  <si>
    <t>Checklists, Timelines &amp; Updates</t>
  </si>
  <si>
    <t>Due Diligence/Closing  Period LOC</t>
  </si>
  <si>
    <t>Physical/Capital Needs Assessment</t>
  </si>
  <si>
    <t>Market Study</t>
  </si>
  <si>
    <t>Environmental Reports</t>
  </si>
  <si>
    <t>Initial Report</t>
  </si>
  <si>
    <t>Phase I</t>
  </si>
  <si>
    <t>Phase II</t>
  </si>
  <si>
    <t>Appraisal</t>
  </si>
  <si>
    <t>Survey</t>
  </si>
  <si>
    <t>Existing</t>
  </si>
  <si>
    <t>As Built</t>
  </si>
  <si>
    <t>Municipal Review Process</t>
  </si>
  <si>
    <t>Zoning</t>
  </si>
  <si>
    <t>Design</t>
  </si>
  <si>
    <t>Neighborhood Review/Approval Meetings</t>
  </si>
  <si>
    <t>Subsidies</t>
  </si>
  <si>
    <t>TIF</t>
  </si>
  <si>
    <t xml:space="preserve">Development Team </t>
  </si>
  <si>
    <t>Architect/Structural</t>
  </si>
  <si>
    <t>Engineers</t>
  </si>
  <si>
    <t>MEP</t>
  </si>
  <si>
    <t>Energy Modeling/LEEDS/Commissioning</t>
  </si>
  <si>
    <t>Civil</t>
  </si>
  <si>
    <t>Construction Manager/General Contractor</t>
  </si>
  <si>
    <t>Owners Rep</t>
  </si>
  <si>
    <t>Architectural</t>
  </si>
  <si>
    <t>Timeline</t>
  </si>
  <si>
    <t xml:space="preserve">Schematic Design </t>
  </si>
  <si>
    <t>renderings</t>
  </si>
  <si>
    <t>drawings</t>
  </si>
  <si>
    <t xml:space="preserve">Design Development </t>
  </si>
  <si>
    <t xml:space="preserve">Construction Drawings </t>
  </si>
  <si>
    <t>Historic TC Process</t>
  </si>
  <si>
    <t>Part I submittal</t>
  </si>
  <si>
    <t>Part II submittal</t>
  </si>
  <si>
    <t>NPS approval</t>
  </si>
  <si>
    <t>Part III Certification submittal</t>
  </si>
  <si>
    <t>Internal Project Schedule</t>
  </si>
  <si>
    <t xml:space="preserve">Cost Estimating </t>
  </si>
  <si>
    <t xml:space="preserve">GMP </t>
  </si>
  <si>
    <t xml:space="preserve">Contracting </t>
  </si>
  <si>
    <t>Sustainable Development</t>
  </si>
  <si>
    <t>Furniture</t>
  </si>
  <si>
    <t>Relocation</t>
  </si>
  <si>
    <t>Permit documents</t>
  </si>
  <si>
    <t>Documentation Requirements for Closing Items</t>
  </si>
  <si>
    <t>Organizational Documents</t>
  </si>
  <si>
    <t>LP Formation Documents</t>
  </si>
  <si>
    <t>GP Formation Documents</t>
  </si>
  <si>
    <t>JV Formation Documents</t>
  </si>
  <si>
    <t>Site Control</t>
  </si>
  <si>
    <t>Standard Agreements</t>
  </si>
  <si>
    <t>Management</t>
  </si>
  <si>
    <t>Marketing</t>
  </si>
  <si>
    <t>REQUEST FOR PROJECT APPROVAL</t>
  </si>
  <si>
    <t>Detailed LOC to get through closing</t>
  </si>
  <si>
    <t>10% Test</t>
  </si>
  <si>
    <t>PRE CLOSING MEETINGS</t>
  </si>
  <si>
    <t>Closing Team</t>
  </si>
  <si>
    <t>Project Specific Closing Checklist</t>
  </si>
  <si>
    <t>Attorney</t>
  </si>
  <si>
    <t>Investors</t>
  </si>
  <si>
    <t>Lender 1</t>
  </si>
  <si>
    <t>Debt  (residential)</t>
  </si>
  <si>
    <t>Debt  (commercial)</t>
  </si>
  <si>
    <t>Equity (LIHTC/HTC)</t>
  </si>
  <si>
    <t>Equity (NMTC)</t>
  </si>
  <si>
    <t>Lender 2</t>
  </si>
  <si>
    <t>Legal</t>
  </si>
  <si>
    <t>Treasury</t>
  </si>
  <si>
    <t>Accounting</t>
  </si>
  <si>
    <t>Compliance</t>
  </si>
  <si>
    <t>CLOSING</t>
  </si>
  <si>
    <t>Estimated Closing Date</t>
  </si>
  <si>
    <t xml:space="preserve">POST CLOSING </t>
  </si>
  <si>
    <t>Post Closing Deliverables</t>
  </si>
  <si>
    <t>Schedule of Deliverables to Capital Partners</t>
  </si>
  <si>
    <t>Delivery of Documents to Denver</t>
  </si>
  <si>
    <t>Set up of Acccounting Items</t>
  </si>
  <si>
    <t>CONSTRUCTION MANAGEMENT</t>
  </si>
  <si>
    <t>Construction Construction Start</t>
  </si>
  <si>
    <t>Owner's Rep Duties and Contract</t>
  </si>
  <si>
    <t>Draw Mng Set Up Prior to Draw 2</t>
  </si>
  <si>
    <t>Review of Budget and Schedule</t>
  </si>
  <si>
    <t>MHI Construction VP Site Visits</t>
  </si>
  <si>
    <t>Site Visits for Monthly Draw Review</t>
  </si>
  <si>
    <t>Quarterly Project Coordinating Meetings</t>
  </si>
  <si>
    <t>Quarterly Dev Coordinating Meetings</t>
  </si>
  <si>
    <t>Timeline of Major Activities for MSC; RS; AM</t>
  </si>
  <si>
    <t>Update and Reconcile Activities Timeline</t>
  </si>
  <si>
    <t>Prepare for MSC to begin PM duties</t>
  </si>
  <si>
    <t>Cost Certification</t>
  </si>
  <si>
    <t>Dev Fee Installment Payment Conditions</t>
  </si>
  <si>
    <t>DRAW MANAGEMENT</t>
  </si>
  <si>
    <t>Lender 1  (US Bank)</t>
  </si>
  <si>
    <t>Detail of Draw Requests from CM</t>
  </si>
  <si>
    <t>Owners Sworn Statement</t>
  </si>
  <si>
    <t>Invoices</t>
  </si>
  <si>
    <t>Sources Statement</t>
  </si>
  <si>
    <t>Escrow Disbursement Statement</t>
  </si>
  <si>
    <t>Internal Reconciliation</t>
  </si>
  <si>
    <t>Lender 2  (NMTC)</t>
  </si>
  <si>
    <t>PROJECT CLOSEOUT AND TURNOVER TO ASSET MANAGEMENT</t>
  </si>
  <si>
    <t>Punchlist Completion (with MSC and AM)</t>
  </si>
  <si>
    <t>Outstanding Items Files</t>
  </si>
  <si>
    <t>Historic Part III Certification</t>
  </si>
  <si>
    <t>Lease Up Schedule</t>
  </si>
  <si>
    <t>Document Deliverables</t>
  </si>
  <si>
    <t>Warranties</t>
  </si>
  <si>
    <t>Guarantees</t>
  </si>
  <si>
    <t>Closeout Manual</t>
  </si>
  <si>
    <t>8609 Requirements and Completion</t>
  </si>
  <si>
    <t>Transfer of Project to Asset Management</t>
  </si>
  <si>
    <t>1st PROJECT TEAM COORDINATING MEETING</t>
  </si>
  <si>
    <t>Lender 0</t>
  </si>
  <si>
    <t>Approval to Proceed</t>
  </si>
  <si>
    <t>Task</t>
  </si>
  <si>
    <t>Request for Project Approval</t>
  </si>
  <si>
    <t>Financing Complete</t>
  </si>
  <si>
    <t>2nd PROJECT TEAM COORDINATING MEETING</t>
  </si>
  <si>
    <t>PRC Approval</t>
  </si>
  <si>
    <t>SUMMARY OF TASKS AND DEADLINES</t>
  </si>
  <si>
    <t>DETAIL OF TASKS AND UPCOMING DEADLINES</t>
  </si>
  <si>
    <t>OTHER</t>
  </si>
  <si>
    <t>CHA Financing</t>
  </si>
  <si>
    <t>HUD</t>
  </si>
  <si>
    <t>Property Mgmt Company</t>
  </si>
  <si>
    <t>PUBLIC FINANCING APPS COMPLETE</t>
  </si>
  <si>
    <t>Actual Complete Date</t>
  </si>
  <si>
    <t>FINANCING COMPLETE</t>
  </si>
  <si>
    <t>DUE DILIGENCE COMPLETE</t>
  </si>
  <si>
    <t>PROJECT SETUP IN DENVER</t>
  </si>
  <si>
    <t>Est Complete
Date</t>
  </si>
  <si>
    <t>Est.
Complete Date</t>
  </si>
  <si>
    <t>Additional Detail on Tasks</t>
  </si>
  <si>
    <t>TAX CREDIT APPS COMPLETE</t>
  </si>
  <si>
    <t>Tax Credit Applications</t>
  </si>
  <si>
    <t>Public Financing Applications</t>
  </si>
  <si>
    <t>Due Diligence Complete</t>
  </si>
  <si>
    <t>Project Set Up in Denver</t>
  </si>
  <si>
    <t>Certificate of Occupancy/PIS</t>
  </si>
  <si>
    <t>Final Draw</t>
  </si>
  <si>
    <t>FINAL DRAW</t>
  </si>
  <si>
    <t>Punch List Complete</t>
  </si>
  <si>
    <t>Actual  Complete Date</t>
  </si>
  <si>
    <t>FHLB/AHP</t>
  </si>
  <si>
    <t>15 Year Refi-Uptown Portfolio</t>
  </si>
  <si>
    <t>Children's Memorial Site</t>
  </si>
  <si>
    <t>Menomonee River Valley</t>
  </si>
  <si>
    <t>26th-Kostner/Keating</t>
  </si>
  <si>
    <t>Englewood Permanent Supportive Housing</t>
  </si>
  <si>
    <t>Grayslake ILF</t>
  </si>
  <si>
    <t>5th Ward Senior Project/Milwaukee</t>
  </si>
  <si>
    <t>YMCA Austin Avenue</t>
  </si>
  <si>
    <t>Harold Washington Apts (LF)</t>
  </si>
  <si>
    <t>15 Year Refi of Uptown Portfolio (Miriam/Carlton)</t>
  </si>
  <si>
    <t>Fox River Valley</t>
  </si>
  <si>
    <t>Net Dev Fee</t>
  </si>
  <si>
    <t>Gross Dev Fee</t>
  </si>
  <si>
    <t>Project Name</t>
  </si>
  <si>
    <t>Contingency</t>
  </si>
  <si>
    <t>NHT-E</t>
  </si>
  <si>
    <t>Leasing and Mgmt Corp.</t>
  </si>
  <si>
    <t>BUDGET</t>
  </si>
  <si>
    <t>Gross</t>
  </si>
  <si>
    <t>Contgncy</t>
  </si>
  <si>
    <t>Net</t>
  </si>
  <si>
    <t>Month</t>
  </si>
  <si>
    <t>Apr, May</t>
  </si>
  <si>
    <t>JANUARY FCAST</t>
  </si>
  <si>
    <t>Feb, May</t>
  </si>
  <si>
    <t>Danville VA</t>
  </si>
  <si>
    <t>FEBRUARY FCAST</t>
  </si>
  <si>
    <r>
      <rPr>
        <sz val="9"/>
        <color rgb="FFFF0000"/>
        <rFont val="Calibri"/>
        <family val="2"/>
        <scheme val="minor"/>
      </rPr>
      <t>Feb</t>
    </r>
    <r>
      <rPr>
        <sz val="9"/>
        <color theme="1"/>
        <rFont val="Calibri"/>
        <family val="2"/>
        <scheme val="minor"/>
      </rPr>
      <t>, May</t>
    </r>
  </si>
  <si>
    <t>BALANCE</t>
  </si>
  <si>
    <t>Updated: 3-14-12</t>
  </si>
  <si>
    <t>Variance from Total Principle</t>
  </si>
  <si>
    <t>2012 Running Obligation</t>
  </si>
  <si>
    <t>Milwaukee Enterprise Center WFR</t>
  </si>
  <si>
    <t>Boulevard Group</t>
  </si>
  <si>
    <t>Actual Jan 2012</t>
  </si>
  <si>
    <t>Actual Feb 2012</t>
  </si>
  <si>
    <t xml:space="preserve">The source will be the property itself – we will renegotiate with IHDA as we had stated once we determined the amount of our liability.  We will suspend payments on their cash flow payments until we are repaid, and then reinstate them. </t>
  </si>
  <si>
    <t xml:space="preserve">The majority paid down in January.  There was an expense incurred in February which was a timing draw which should be repaid right away out of the next draw. </t>
  </si>
  <si>
    <t>MARCH FCAST</t>
  </si>
  <si>
    <t>Oct 2013</t>
  </si>
  <si>
    <t xml:space="preserve">Danville VA Hospital </t>
  </si>
  <si>
    <t>DEAD DEALS</t>
  </si>
  <si>
    <t>Developer: Holler</t>
  </si>
  <si>
    <t>2nd installment of $56,392 received in December 2011; 4th and 5th installment to be received by 2nd Qtr of 2012</t>
  </si>
  <si>
    <t>NOTES: Due to changes in the 2010 QAP there will be no TC application in 2010.  Anticipated a 202 application of VA partnership to occur in 2010 with a closing in 2011; need to follow up and meeting with Mike Brown of Provena</t>
  </si>
  <si>
    <t>NOTE: Future Phases</t>
  </si>
  <si>
    <t>NOTE: Site control obtained; WHEDA TC application denied due to higher than HUD permitted costs; redesign of building underway to meet these threshold requirements</t>
  </si>
  <si>
    <t>NOTE: Project advancing toward a 2011 application with per unit constraints of 2011 QAP</t>
  </si>
  <si>
    <t>NOTE: Meetings underway with church that owns parcel; anticipated to be a part of 2011 TC application</t>
  </si>
  <si>
    <t>PROJECTS IN CONSTRUCTION IN CURRENT YEAR</t>
  </si>
  <si>
    <t>Childrens Memorial Hospital site in Chicago (Lincoln Park)</t>
  </si>
  <si>
    <t>NOTE: McCaffery Interests has been selected as the developer by CMH; MHI has had mtgs with prinipcals and submitted an MOU in Feb.</t>
  </si>
  <si>
    <t>Developer: Angelini/Reyes</t>
  </si>
  <si>
    <t>Developer:  Angelini/Blakley</t>
  </si>
  <si>
    <t>Date Tax Credits Awarded</t>
  </si>
  <si>
    <t>APRIL FCAST</t>
  </si>
  <si>
    <t>PLEASE PRINT OUT PAGE AS 2 SIDED</t>
  </si>
  <si>
    <t>Tax Credit Investor</t>
  </si>
  <si>
    <t>Date Tax Credit Awarded</t>
  </si>
  <si>
    <t>UPCOMING TASKS</t>
  </si>
  <si>
    <t>Monthly</t>
  </si>
  <si>
    <t>Final capital installment to be received in March 2012; turnover will occur thereafter</t>
  </si>
  <si>
    <t>Confirm volume cap; City Council: PD amendment process - Feb-Sep 2012</t>
  </si>
  <si>
    <t>Submit tax credit app: Mar 2012</t>
  </si>
  <si>
    <t>CHA: negotations and internal loan approval Mar 2012; TX CR investor selection - April 2012 &amp; term sheet Jun 2012; HUD - select HUD mortgagee Apr 2012, MAP Processing Jun-Sep 2012, firm commit: Sep 2012; AHP: submit app Mar-Jul 2012</t>
  </si>
  <si>
    <t>Done</t>
  </si>
  <si>
    <t>NA</t>
  </si>
  <si>
    <t>AHP: submit to US Bank  Mar 2012 award by year end; HOME/CDBG loan: negotiation &amp; internal City approval by Jun 2012, full council approval by Sep 2012; DCEO: negotiations with CNI with approval by Dec 2012</t>
  </si>
  <si>
    <t>TX CR: Application not approved by DHED, developing new strategy for financing; AHP: application due  Aug 2012</t>
  </si>
  <si>
    <t>This will modify original Concept Approval for new structure.</t>
  </si>
  <si>
    <t>This will modify original concept approval for new structure.</t>
  </si>
  <si>
    <t>Mar/Apr 2012</t>
  </si>
  <si>
    <t>City Council Approval - Mar/Apr 2012</t>
  </si>
  <si>
    <t>AHP: Atl - May &amp; Jun 2012; Cincy - Apr &amp; Aug 2012; San Fran - Apr &amp; Oct 2012</t>
  </si>
  <si>
    <t>on going</t>
  </si>
  <si>
    <t>Variance</t>
  </si>
  <si>
    <t>Approved Line</t>
  </si>
  <si>
    <t>Uptown Portfolio</t>
  </si>
  <si>
    <r>
      <t xml:space="preserve">Unbudgeted revenue from Denis Pierce, 180 Properties and Roseland - </t>
    </r>
    <r>
      <rPr>
        <b/>
        <sz val="10"/>
        <color theme="1"/>
        <rFont val="Calibri"/>
        <family val="2"/>
        <scheme val="minor"/>
      </rPr>
      <t>PAID DOWN MARCH 2012</t>
    </r>
  </si>
  <si>
    <t xml:space="preserve"> Grayslake would need to be significantly reduced this year to make room for this project or it needs to be rolled into an MHI line</t>
  </si>
  <si>
    <t>Need strategy and timing to pay this down</t>
  </si>
  <si>
    <t>Budgeted to write down in APRIL 2012</t>
  </si>
  <si>
    <t>Pay off at in APRIL 2012 because we now have control of reserves</t>
  </si>
  <si>
    <t>M Angelini &amp; A Blakley</t>
  </si>
  <si>
    <t>GROSS</t>
  </si>
  <si>
    <t>CONT.</t>
  </si>
  <si>
    <t>NET</t>
  </si>
  <si>
    <t>2012 Developer Fee</t>
  </si>
  <si>
    <t>Grayslake LPA -- Exhibit A</t>
  </si>
  <si>
    <r>
      <t xml:space="preserve">2nd Capital Installment - </t>
    </r>
    <r>
      <rPr>
        <b/>
        <i/>
        <u/>
        <sz val="11"/>
        <color theme="1"/>
        <rFont val="Calibri"/>
        <family val="2"/>
        <scheme val="minor"/>
      </rPr>
      <t>NO SOONER THAN JANUARY 1, 2013</t>
    </r>
  </si>
  <si>
    <t>Dev Fee</t>
  </si>
  <si>
    <t>a.</t>
  </si>
  <si>
    <t>Completion Date</t>
  </si>
  <si>
    <t>b.</t>
  </si>
  <si>
    <t>Receipt and approval by LP of draft Cost Cert prepared by the accountants</t>
  </si>
  <si>
    <t>c.</t>
  </si>
  <si>
    <t>Receipt and approval of final release of lien from GC</t>
  </si>
  <si>
    <t>d.</t>
  </si>
  <si>
    <t>Receipt by LP of insurance binders</t>
  </si>
  <si>
    <t>e.</t>
  </si>
  <si>
    <t>Receipt of updated title</t>
  </si>
  <si>
    <t>f.</t>
  </si>
  <si>
    <t>Receipt and approval by LP an as-built ALTA survey</t>
  </si>
  <si>
    <t>g.</t>
  </si>
  <si>
    <t>Evidence that as built plans are approced by the architect</t>
  </si>
  <si>
    <t>h.</t>
  </si>
  <si>
    <t>Satisfactory radon testing</t>
  </si>
  <si>
    <t>i.</t>
  </si>
  <si>
    <t>Receipt and approval by LP an updated source and use that shows partnership will have sufficient funds for loan conversion</t>
  </si>
  <si>
    <t>j.</t>
  </si>
  <si>
    <t>Receipt and approval by the LP of Section 8 commitment</t>
  </si>
  <si>
    <t>k.</t>
  </si>
  <si>
    <t>Receipt and approval by LP that DCEO loan has been funded in full</t>
  </si>
  <si>
    <t>l.</t>
  </si>
  <si>
    <t>Receipt and approval by LP of the extended use agreement</t>
  </si>
  <si>
    <t>m.</t>
  </si>
  <si>
    <t>Completed 10% test files with the authority along with Accountant's certification</t>
  </si>
  <si>
    <t>n.</t>
  </si>
  <si>
    <t>All appropriate reports required in Section 13.03 of the LPA</t>
  </si>
  <si>
    <t>o.</t>
  </si>
  <si>
    <t>Satisfaction of all prior Capital Contributions</t>
  </si>
  <si>
    <r>
      <t xml:space="preserve">3rd Capital Installment - </t>
    </r>
    <r>
      <rPr>
        <b/>
        <i/>
        <u/>
        <sz val="11"/>
        <color theme="1"/>
        <rFont val="Calibri"/>
        <family val="2"/>
        <scheme val="minor"/>
      </rPr>
      <t>NO SOONER THAN JANUARY 1, 2013</t>
    </r>
  </si>
  <si>
    <t>Receipt and approval by LP of cost certification certified by the Accountant - eligible basis, matching souce and use, credit calcs</t>
  </si>
  <si>
    <t>Receipt and approval by LP of tax parcel endorsement to the Title Policy and vacation of cul-de-sac</t>
  </si>
  <si>
    <t>2nd and 3rd Capital Installments</t>
  </si>
  <si>
    <t>Click here for list of requirements</t>
  </si>
  <si>
    <t>HWA-850</t>
  </si>
  <si>
    <t>HWA-850 LPA -- Section 4.06</t>
  </si>
  <si>
    <t>Conditions Precedent to Completion Installment - May not be paid before July 1, 2011</t>
  </si>
  <si>
    <t>All conditions precedent to prior installments have been satisfied</t>
  </si>
  <si>
    <t>No default or Event of Default has occurred</t>
  </si>
  <si>
    <t>Completion of Construction has been achieved</t>
  </si>
  <si>
    <t>Evidence that any environmental remediation, removal or disposal recommended by Phase 1 report or required by law has been remediated</t>
  </si>
  <si>
    <t>LP has received Architect's Certificate of Full Completion, subject to punchlist not exceeding $50,000</t>
  </si>
  <si>
    <t>LP has received report for Construction Consultant certifying full completion</t>
  </si>
  <si>
    <t>LP has received Accountant's certification of Preliminary Credit Amount</t>
  </si>
  <si>
    <t>GP has paid LP any amount payable under Section 4.02 "Adjustment of LPs Capital Contribution"</t>
  </si>
  <si>
    <t>LP has evidence that National Park Service has approved amendments to Form 10-168b (Part 2)</t>
  </si>
  <si>
    <t>LP has received from Architect that the rehabilitation of the project completed through the Completion Installment Payment Date has been built in a manner consistent with National Park Service Form 10-168b (Part 2) and with Historic preservation Certificate Application for State Historic Tax Credits</t>
  </si>
  <si>
    <t>LP has satisfactory evidence that the BMIR has been fully funded in accordance with Section 10.04d</t>
  </si>
  <si>
    <t>General Partner Installment Certificate has been delivered to LP with respect to Completion Installment</t>
  </si>
  <si>
    <t>All of the following documents have been delivered:</t>
  </si>
  <si>
    <t xml:space="preserve"> - Certificate of Occpuancy (maybe temporary)</t>
  </si>
  <si>
    <t xml:space="preserve"> - Final lien waiver by each GC</t>
  </si>
  <si>
    <t xml:space="preserve"> - Receipt of General Contractor's Installment Certificate from each GC</t>
  </si>
  <si>
    <t xml:space="preserve"> - Title insurance date down endorsement covering the period from initial installment to completion installment </t>
  </si>
  <si>
    <t xml:space="preserve"> - Update on tax counsel opinion</t>
  </si>
  <si>
    <t xml:space="preserve"> - Updated opinion of legal counsel if any material changes</t>
  </si>
  <si>
    <t xml:space="preserve"> - Lenders estoppel cert from the lender of the MHL loan dated as of the completion installment payment date</t>
  </si>
  <si>
    <t xml:space="preserve"> - Copies of documents in connection with loans not previously delivered to LP</t>
  </si>
  <si>
    <t xml:space="preserve"> - Evidence of payment of all amounts outstanding under each GC and removal of all liens</t>
  </si>
  <si>
    <t xml:space="preserve"> - Financial statements of GP and guarantor, dated no earlier than 60 days prior to the Completion Installment Payment Date</t>
  </si>
  <si>
    <t xml:space="preserve"> - Evidence that all insurance policies are in full force and effect as of Completion Installment Payment Date</t>
  </si>
  <si>
    <t xml:space="preserve"> - GP has delivered an executed Property Manager Installment Certificate dated as of Completion Installment Payment Date</t>
  </si>
  <si>
    <t>Conditions Precedent to Conversion Installment - May not be paid before March 1, 2012</t>
  </si>
  <si>
    <t>Project has achieved DSCR on the permanent loans of at least 1.10 for at least three consecutive months</t>
  </si>
  <si>
    <t>Certified rent roll that shows at least 90% of the Residential Units are leased and occupied by tenants and at least 90% of the Affordable Residential Units are leased and occupied by qualified low income tenants; leases are in compliance with the Regulatory Agreement and Credit Conditions for a period of three consecutive months</t>
  </si>
  <si>
    <t>LP has received evidence, from certified rent roll,  that the Qualified Low Income Occupancy has occurred and 100% of the Affordable Residential Units have been leased at least once to qualified low income tenant</t>
  </si>
  <si>
    <t>All of the permanent loans have closed and been fully funded (including conversion of the Bond Loan to permanent), or closed and funded concurrently with the payment of the Conversion Installment</t>
  </si>
  <si>
    <t>Final completion has been achieved</t>
  </si>
  <si>
    <t>LP received Accountant's audited certificate as to the determination of final credit amount and any adjustments top LP Capital Contributions</t>
  </si>
  <si>
    <t>Evidence to the LP that prior to or concurrent with the Conversion Installment payment, the principle balance of the MHL Loan has been paid down by $1,000,000 and GP has paid or will pay the portion of the GP capital contribution than due as in Section 4.01a</t>
  </si>
  <si>
    <t>At least 7 days prior to Conversion Installation Payment Date, GP has delivered GP Installment Certificate to LP</t>
  </si>
  <si>
    <t>All of the following documents have been delivered (Exhibit K)</t>
  </si>
  <si>
    <t xml:space="preserve"> - Permanent certificate of occupancy</t>
  </si>
  <si>
    <t xml:space="preserve"> - An as-built SLTA survey</t>
  </si>
  <si>
    <t xml:space="preserve"> - Evidence of achievement of Qualified Low Income Occupancy</t>
  </si>
  <si>
    <t xml:space="preserve"> - Evidence that all Reserves have been fully funded</t>
  </si>
  <si>
    <t xml:space="preserve"> - A certificate from accountants that show: (a) itemized cost of the project; (b) Eligible Housing Creidt Basis; (c) Housing Credit Percentage; (d) setting forth the calculation of any applicable adjustments in LP Capital contribution</t>
  </si>
  <si>
    <t xml:space="preserve"> - GP representation of Qualified Basis</t>
  </si>
  <si>
    <t xml:space="preserve"> - Title insurance date down endorsement covering the period from initial installment to conversion installment </t>
  </si>
  <si>
    <t xml:space="preserve"> - Lenders estoppel cert from the lender of the MHL loan dated as of the conversion installment payment date</t>
  </si>
  <si>
    <t xml:space="preserve"> - Financial statements of GP and guarantor, dated no earlier than 60 days prior to the Conversion Installment Payment Date</t>
  </si>
  <si>
    <t xml:space="preserve"> - Evidence that all insurance policies are in full force and effect as of Conversion Installment Payment Date</t>
  </si>
  <si>
    <t xml:space="preserve"> - Evidence that the Permanent loans at actual interest rate can be serviced by gross revenues</t>
  </si>
  <si>
    <t xml:space="preserve"> - Evidence of achievement of stabilization</t>
  </si>
  <si>
    <t xml:space="preserve"> - GP has delivered an executed Property Manager Installment Certificate dated as of conversion Installment Payment Date</t>
  </si>
  <si>
    <t xml:space="preserve"> - Certificate from architect that punch list items have been completed</t>
  </si>
  <si>
    <t xml:space="preserve"> - Report from Construction Consultant certifying full completion of punch list items</t>
  </si>
  <si>
    <t xml:space="preserve"> - Final affidavit from each GC and full and complete releases of lien from each GC including punch list items</t>
  </si>
  <si>
    <t xml:space="preserve"> - LP has received and executed GC Installment Certificate from each GC, dated as of the Conversion Installment Payment Date; report that all punch list items are complete so that all work necessary for completion of the project and any necessary utilities and roads have been finished and made available for use</t>
  </si>
  <si>
    <t xml:space="preserve"> - GP has provided LP with certified rent roll showing that as of Conversion Installment Payment Date, at least 270 units are then leased to and occupied by low income tenants and leases are in compliance</t>
  </si>
  <si>
    <t>Conditions Precedent to Final Installment - May not be paid before April 1, 2012</t>
  </si>
  <si>
    <t>LP has received the 8609</t>
  </si>
  <si>
    <t>LP has received Accountant's audited certificate determining final credit amount and any adjustments to LP Cap Contributions</t>
  </si>
  <si>
    <t>LP received tax credit compliance audit of 100% of the initial tenant files, prepared by qualifed 3rd party firm</t>
  </si>
  <si>
    <t>LP has received estoppel letter from lender of MHL loan, dated not more than 30 days prior to final installment payment date</t>
  </si>
  <si>
    <t>LP has received certificate from GP for final Part 3 Historic Application has been filed by GP with Dept of Interior, and evidence to the LP that Dept of Interior has approved</t>
  </si>
  <si>
    <t>GP has paid LP amounts under Section 4.02</t>
  </si>
  <si>
    <t>Seven days prior to final installment payment date, GP has delivered GP installment certificate to LP</t>
  </si>
  <si>
    <t>All of the following documents have been delivered (Exhibit L)</t>
  </si>
  <si>
    <t xml:space="preserve"> - evidence that housing credits of $1,830,897 per annum have been issued by housing agency</t>
  </si>
  <si>
    <t xml:space="preserve"> - title insurance date down report covering period through final installment payment date, which discloses no liens or encumberances</t>
  </si>
  <si>
    <t xml:space="preserve"> - Copies of operating statements and rent rolls, certified as true and correct by GP</t>
  </si>
  <si>
    <t xml:space="preserve"> - Lenders estoppel cert from lender of MHL loan, dated as of final installment payment date</t>
  </si>
  <si>
    <t xml:space="preserve"> - If requested by LP, update to the tax counsel opinion on any material tax changes since initial installment</t>
  </si>
  <si>
    <t xml:space="preserve"> - If requested by LP, update opinion of legal counsel to the partnership, GP or GP affiliate</t>
  </si>
  <si>
    <t xml:space="preserve"> - If requested by LP, certificate showing (a) itemized costs of the project (b) eligible housing credit basis (c) housing credit percentage (d) qualified rehab expenditures of the project (e) calculation of any applicable adjustments in LP capital contribution</t>
  </si>
  <si>
    <t xml:space="preserve"> - Filed first year tax return of the partnership, including K1 for LP</t>
  </si>
  <si>
    <t xml:space="preserve"> - Financial statements of GP, dated no earlier that 60 days prior to final installment payment date</t>
  </si>
  <si>
    <t xml:space="preserve"> - A compliance audit of all such occpupancies, made by consultant including copies of all initial tenant files</t>
  </si>
  <si>
    <t xml:space="preserve"> - Completion Installment no later than 7-1-11
 - Conversion Installment no later than 3/1/12
 - Final Installment no later than 4/1/12
 - Forecasting $637,500 to be received in 2012 - see "HWA-850 Capital Installments" worksheet for requirements to receive capital installments</t>
  </si>
  <si>
    <t xml:space="preserve">Double click in field to add text to the Upcoming Tasks </t>
  </si>
  <si>
    <t>Press Alt-Enter to add a line within the field</t>
  </si>
  <si>
    <t xml:space="preserve"> - Per the LPA, the 2nd and 3rd capital installments cannot be made until 1/1/13
 - MHL is forecasting dev fee to be received in 2012; therefore, need to start negotiations to receive dev fee in 2012
 - See "Grayslake Cap Installments" worksheet for required items</t>
  </si>
  <si>
    <t>Countryside LPA -- Section 4.8</t>
  </si>
  <si>
    <t xml:space="preserve"> - evidence that housing credits of $1,090,833 per annum have been issued by housing agency</t>
  </si>
  <si>
    <t xml:space="preserve"> - Need to determine final calculation of dev fee to be received based on downward adjuster - what portion becomes deferred fee to be received in later years from cash flow?
 - See "Countryside Cap Installments" worksheet for required items</t>
  </si>
  <si>
    <r>
      <t xml:space="preserve"> - Provided a letter of direction to title company to reimburse MHL from escrow related to vendors who have no liens and are up to date on payment - Dolores will contact Tony when underwriters have reviewed and approved
 - Duane Morris is working on a letter to title to have title underwriting determine which vendors are fully paid and release money from escrow to MHL
</t>
    </r>
    <r>
      <rPr>
        <b/>
        <sz val="11"/>
        <color theme="1"/>
        <rFont val="Calibri"/>
        <family val="2"/>
        <scheme val="minor"/>
      </rPr>
      <t>VENDORS WITH LIENS:</t>
    </r>
    <r>
      <rPr>
        <sz val="11"/>
        <color theme="1"/>
        <rFont val="Calibri"/>
        <family val="2"/>
        <scheme val="minor"/>
      </rPr>
      <t xml:space="preserve">
</t>
    </r>
    <r>
      <rPr>
        <u/>
        <sz val="11"/>
        <color theme="1"/>
        <rFont val="Calibri"/>
        <family val="2"/>
        <scheme val="minor"/>
      </rPr>
      <t>City Cottage</t>
    </r>
    <r>
      <rPr>
        <sz val="11"/>
        <color theme="1"/>
        <rFont val="Calibri"/>
        <family val="2"/>
        <scheme val="minor"/>
      </rPr>
      <t xml:space="preserve"> - have filed Notice of Attorney's Lien
</t>
    </r>
    <r>
      <rPr>
        <u/>
        <sz val="11"/>
        <color theme="1"/>
        <rFont val="Calibri"/>
        <family val="2"/>
        <scheme val="minor"/>
      </rPr>
      <t>Glass Designers and Spancrete</t>
    </r>
    <r>
      <rPr>
        <sz val="11"/>
        <color theme="1"/>
        <rFont val="Calibri"/>
        <family val="2"/>
        <scheme val="minor"/>
      </rPr>
      <t xml:space="preserve"> - we are awaiting the results of water testing to be done April 23-27 to see if these vendors still have warranty responsibilties related to water leaks at the property
</t>
    </r>
    <r>
      <rPr>
        <u/>
        <sz val="11"/>
        <color theme="1"/>
        <rFont val="Calibri"/>
        <family val="2"/>
        <scheme val="minor"/>
      </rPr>
      <t>Armstrong</t>
    </r>
    <r>
      <rPr>
        <sz val="11"/>
        <color theme="1"/>
        <rFont val="Calibri"/>
        <family val="2"/>
        <scheme val="minor"/>
      </rPr>
      <t xml:space="preserve"> -- asking to settle for $82,246-- Midwest believes they are still owed $25,359 - Igal is looking into this 
Once negotiations are complete, we will use remaining escrow balances coming to MHL to pay MacArthur LOC</t>
    </r>
  </si>
  <si>
    <t>In Progress</t>
  </si>
  <si>
    <t>Sisters of St Casimir facility</t>
  </si>
  <si>
    <t>MuskegonTrinity site</t>
  </si>
  <si>
    <t>Muskegon, MI</t>
  </si>
  <si>
    <t xml:space="preserve">B of A </t>
  </si>
  <si>
    <t>Enterprise/ JP Morgan</t>
  </si>
  <si>
    <t>US Bank</t>
  </si>
  <si>
    <t>National Affordable  Housing Trust</t>
  </si>
  <si>
    <t>Actual 3/1/2012</t>
  </si>
  <si>
    <t>Waiting on final lien waivers to determine the release of escrow balance</t>
  </si>
  <si>
    <t>Waiting on the results of water intrusion issues to determine what additional work is required and covered under warranty</t>
  </si>
  <si>
    <t>Self Generated at Closing</t>
  </si>
  <si>
    <t>Enterprise/ Fifth Third</t>
  </si>
  <si>
    <t>Pullman</t>
  </si>
  <si>
    <t>DEVELOPER FEE SCHEDULE</t>
  </si>
  <si>
    <t>Total Development Fee</t>
  </si>
  <si>
    <t>Pullman LPA -- Exhibit A-1</t>
  </si>
  <si>
    <t>MHL</t>
  </si>
  <si>
    <t>Second Installment</t>
  </si>
  <si>
    <t>$4,313,630 - at August 15, 2013</t>
  </si>
  <si>
    <t>Accrual Schedule</t>
  </si>
  <si>
    <t>Third Installment</t>
  </si>
  <si>
    <t>At Closing</t>
  </si>
  <si>
    <t>$4,006,276 -- Latest of:</t>
  </si>
  <si>
    <t>At Construction Completion</t>
  </si>
  <si>
    <t>Completion date</t>
  </si>
  <si>
    <t>Receipt of 8609 and Stabilization</t>
  </si>
  <si>
    <t>100% lien free completion of the construction including receipt by LP of evidence of no liens</t>
  </si>
  <si>
    <t>Copies of all insurance binders/documents</t>
  </si>
  <si>
    <t>Development Fee Payout</t>
  </si>
  <si>
    <t>Receipt of final cost cert</t>
  </si>
  <si>
    <r>
      <t xml:space="preserve">$715,000 shall be paid upon </t>
    </r>
    <r>
      <rPr>
        <u/>
        <sz val="11"/>
        <color theme="1"/>
        <rFont val="Calibri"/>
        <family val="2"/>
        <scheme val="minor"/>
      </rPr>
      <t>1st Installment</t>
    </r>
    <r>
      <rPr>
        <sz val="11"/>
        <color theme="1"/>
        <rFont val="Calibri"/>
        <family val="2"/>
        <scheme val="minor"/>
      </rPr>
      <t xml:space="preserve"> of the LP</t>
    </r>
  </si>
  <si>
    <t>Final, executed documents of all loans</t>
  </si>
  <si>
    <r>
      <t xml:space="preserve">Capital Contribution - </t>
    </r>
    <r>
      <rPr>
        <b/>
        <sz val="11"/>
        <color theme="1"/>
        <rFont val="Calibri"/>
        <family val="2"/>
        <scheme val="minor"/>
      </rPr>
      <t>COMPLETE</t>
    </r>
  </si>
  <si>
    <t>Receipt by LP of Radon Report</t>
  </si>
  <si>
    <t>December 15, 2013</t>
  </si>
  <si>
    <r>
      <t xml:space="preserve">$385,000 shall be paid upon the </t>
    </r>
    <r>
      <rPr>
        <u/>
        <sz val="11"/>
        <color theme="1"/>
        <rFont val="Calibri"/>
        <family val="2"/>
        <scheme val="minor"/>
      </rPr>
      <t>4th Installment</t>
    </r>
    <r>
      <rPr>
        <sz val="11"/>
        <color theme="1"/>
        <rFont val="Calibri"/>
        <family val="2"/>
        <scheme val="minor"/>
      </rPr>
      <t xml:space="preserve"> of the LP</t>
    </r>
  </si>
  <si>
    <r>
      <t xml:space="preserve">Capital Contribution - </t>
    </r>
    <r>
      <rPr>
        <b/>
        <sz val="11"/>
        <color theme="1"/>
        <rFont val="Calibri"/>
        <family val="2"/>
        <scheme val="minor"/>
      </rPr>
      <t>MHL portion: $257,950</t>
    </r>
  </si>
  <si>
    <t>Fourth Installment</t>
  </si>
  <si>
    <t>$783,327 -- Latest of:</t>
  </si>
  <si>
    <t>$1,876,286 of the Development Fee shall be deferred and</t>
  </si>
  <si>
    <t>Receipt of 8609</t>
  </si>
  <si>
    <t>payable from cash flow</t>
  </si>
  <si>
    <t>Satisfaction of all conditions to all prior capital contributions</t>
  </si>
  <si>
    <t>Receipt of tax returns and financial statements (including K1s)</t>
  </si>
  <si>
    <t>Receipt of NFR from IEPA</t>
  </si>
  <si>
    <t>Achievement of stabilization date</t>
  </si>
  <si>
    <t>Achievement of 100% occupancy</t>
  </si>
  <si>
    <t>LP receipt and approval of all TICs and files</t>
  </si>
  <si>
    <t>Receipt of Part 3 approval</t>
  </si>
  <si>
    <t>If required, followup Radon report detailing all mitigation measures</t>
  </si>
  <si>
    <t>Evidence from Accountants that 50% test is satisfied</t>
  </si>
  <si>
    <t>April 15, 2014</t>
  </si>
  <si>
    <t>SAMPLE REAL ESTATE DEVELOPMENT</t>
  </si>
  <si>
    <t xml:space="preserve"> </t>
  </si>
  <si>
    <t>Excess/(Under) Capacity</t>
  </si>
  <si>
    <t>Staff Allocated</t>
  </si>
  <si>
    <t>Staffing Required</t>
  </si>
  <si>
    <t>Est Hours/Month</t>
  </si>
  <si>
    <t>TOTAL UNITS</t>
  </si>
  <si>
    <t>Staff Mng</t>
  </si>
  <si>
    <t>Staff Management</t>
  </si>
  <si>
    <t>Const Mng</t>
  </si>
  <si>
    <t xml:space="preserve">Regional 4% Fund for NSP </t>
  </si>
  <si>
    <t>Expansion to Other Geographic Areas</t>
  </si>
  <si>
    <t>Pre Dev</t>
  </si>
  <si>
    <t>Acquistion Private Equity Fund</t>
  </si>
  <si>
    <t>TC-HUD APP</t>
  </si>
  <si>
    <t>No Action</t>
  </si>
  <si>
    <t>Conversion</t>
  </si>
  <si>
    <t>FERGUS</t>
  </si>
  <si>
    <t>Draw Mng</t>
  </si>
  <si>
    <t>West Side Refinance</t>
  </si>
  <si>
    <t>ASSET MANAGEMENT</t>
  </si>
  <si>
    <t>Review</t>
  </si>
  <si>
    <t>Apartment Acquisitions</t>
  </si>
  <si>
    <t>CONSULTANT</t>
  </si>
  <si>
    <t>Next Phase</t>
  </si>
  <si>
    <t>Danville (Phase 2)</t>
  </si>
  <si>
    <t>CHICAGO METRO SUBURBS</t>
  </si>
  <si>
    <t>MILWAUKEE</t>
  </si>
  <si>
    <t>Per Develper Rating</t>
  </si>
  <si>
    <t>26th &amp; Kostner (Phase 1B)</t>
  </si>
  <si>
    <t>Keating Building (Phase 1A)</t>
  </si>
  <si>
    <t>CHICAGO</t>
  </si>
  <si>
    <t>Stage Q4 2011</t>
  </si>
  <si>
    <t>Stage Q3 2011</t>
  </si>
  <si>
    <t>Stage Q2 2011</t>
  </si>
  <si>
    <t>Stage Q1 2011</t>
  </si>
  <si>
    <t>2011 Activity Rating</t>
  </si>
  <si>
    <t>Stage Q4 2010</t>
  </si>
  <si>
    <t>Stage Q3 2010</t>
  </si>
  <si>
    <t>Stage Q2 2010</t>
  </si>
  <si>
    <t>Stage Q1 2010</t>
  </si>
  <si>
    <t>2010 Activity Rating</t>
  </si>
  <si>
    <t>Units</t>
  </si>
  <si>
    <t>DEVELOPER</t>
  </si>
  <si>
    <t>Monthly Hours @ 40/week x 49 wks</t>
  </si>
  <si>
    <t>Monthly Avg Hrs Per Developer</t>
  </si>
  <si>
    <t xml:space="preserve">Est. Hours Per Week </t>
  </si>
  <si>
    <t>hrs/month</t>
  </si>
  <si>
    <t>TOTAL HOURS/MONTH</t>
  </si>
  <si>
    <t>Admin Hours/Month</t>
  </si>
  <si>
    <t>Target Activity Rate Per Developer</t>
  </si>
  <si>
    <t>Profile of Avg Developer Summary</t>
  </si>
  <si>
    <t>Hours/Month</t>
  </si>
  <si>
    <t>Rating Key</t>
  </si>
  <si>
    <t>Activity</t>
  </si>
  <si>
    <t>Key</t>
  </si>
  <si>
    <t>STAFFING CAPACITY</t>
  </si>
  <si>
    <t>M LINE OF CREDIT</t>
  </si>
  <si>
    <t xml:space="preserve">INTERNAL LINE OF CREDIT </t>
  </si>
  <si>
    <t>XXX LINE OF CREDIT</t>
  </si>
  <si>
    <t xml:space="preserve">MHI LINE OF CREDIT </t>
  </si>
  <si>
    <t>MHI LINE OF CREDIT - XXX BANK</t>
  </si>
  <si>
    <t xml:space="preserve"> LINE OF CREDIT - BANK</t>
  </si>
  <si>
    <t>Asset Class</t>
  </si>
  <si>
    <t>Multi-Family</t>
  </si>
  <si>
    <t>Single-Family</t>
  </si>
  <si>
    <t>Listed For Sale</t>
  </si>
  <si>
    <t>Under Contract</t>
  </si>
  <si>
    <t>USDA</t>
  </si>
  <si>
    <t>Opportunity Zone</t>
  </si>
  <si>
    <t>Public Grant</t>
  </si>
  <si>
    <t>Foundation Grant</t>
  </si>
  <si>
    <t>Other Partners</t>
  </si>
  <si>
    <t xml:space="preserve">  </t>
  </si>
  <si>
    <t xml:space="preserve"> City/ County Funding</t>
  </si>
  <si>
    <t>SF For Sale</t>
  </si>
  <si>
    <t>State Funding</t>
  </si>
  <si>
    <t>Net Income/(Loss) Cash After Service Line Allocation</t>
  </si>
  <si>
    <t>Net Income/(Loss) Accrual After Service Line Allocation</t>
  </si>
  <si>
    <t>Nation Campus Service Line Allocation (Budgeted Numbers)</t>
  </si>
  <si>
    <t>Net Income/(Loss) Before Service Line Allocation</t>
  </si>
  <si>
    <t>Total Direct Aff Housing Expenses</t>
  </si>
  <si>
    <t>HUD Facility Exp</t>
  </si>
  <si>
    <t>Workshops</t>
  </si>
  <si>
    <t>Meetings</t>
  </si>
  <si>
    <t>Pro Services</t>
  </si>
  <si>
    <t>Public Rel-Reimb</t>
  </si>
  <si>
    <t>Emp Rel-Reimb</t>
  </si>
  <si>
    <t>Telecommuters</t>
  </si>
  <si>
    <t>Dues-Reimb</t>
  </si>
  <si>
    <t>Employee Recruitment</t>
  </si>
  <si>
    <t>C/Serv-Shared Emp</t>
  </si>
  <si>
    <t>Choller Consulting</t>
  </si>
  <si>
    <t>Contract Services</t>
  </si>
  <si>
    <t>Staff Develop</t>
  </si>
  <si>
    <t>Travel-Reimb</t>
  </si>
  <si>
    <t>Supplies</t>
  </si>
  <si>
    <t>Benefits</t>
  </si>
  <si>
    <t>Salaries</t>
  </si>
  <si>
    <t>Direct Affordable Housing Expenses</t>
  </si>
  <si>
    <t>Total Revenue</t>
  </si>
  <si>
    <t>Seller Note Revenue</t>
  </si>
  <si>
    <t>Cash Pipeline Developer Fees</t>
  </si>
  <si>
    <t>Accrued Developer Fees</t>
  </si>
  <si>
    <t>Bookkeeping Fees</t>
  </si>
  <si>
    <t>Property Mgmt Fees</t>
  </si>
  <si>
    <t>Revenue</t>
  </si>
  <si>
    <t>Total</t>
  </si>
  <si>
    <t>Vice President</t>
  </si>
  <si>
    <t>Property Mgmt</t>
  </si>
  <si>
    <t>Asset Mgmt</t>
  </si>
  <si>
    <t>YEAR 2016</t>
  </si>
  <si>
    <t>YEAR 2015</t>
  </si>
  <si>
    <t>SAMPLE OPERATING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</si>
</sst>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0.0%"/>
    <numFmt numFmtId="166" formatCode="mm/dd/yy"/>
    <numFmt numFmtId="167" formatCode="m/d/yyyy\ \ h:mm\ AM/PM"/>
    <numFmt numFmtId="168" formatCode="0_);[Red]\(0\)"/>
    <numFmt numFmtId="169" formatCode="mm/yyyy"/>
    <numFmt numFmtId="170" formatCode="0.0000000000"/>
    <numFmt numFmtId="171" formatCode="[&lt;=9999999]###\-####;\(###\)\ ###\-####"/>
    <numFmt numFmtId="172" formatCode="&quot;$&quot;#,##0.00"/>
    <numFmt numFmtId="173" formatCode="m/d/yy;@"/>
    <numFmt numFmtId="174" formatCode="[$-409]mmm\-yy;@"/>
    <numFmt numFmtId="175" formatCode="[$-409]mmmm\-yy;@"/>
  </numFmts>
  <fonts count="113">
    <font>
      <sz val="11"/>
      <color theme="1"/>
      <name val="Calibri"/>
      <family val="2"/>
      <scheme val="minor"/>
    </font>
    <font>
      <b/>
      <sz val="12"/>
      <name val="Arial"/>
      <family val="2"/>
    </font>
    <font>
      <sz val="10"/>
      <name val="Arial"/>
      <family val="2"/>
    </font>
    <font>
      <sz val="10"/>
      <color indexed="8"/>
      <name val="MS Sans Serif"/>
      <family val="2"/>
    </font>
    <font>
      <sz val="8"/>
      <name val="Arial"/>
      <family val="2"/>
    </font>
    <font>
      <sz val="11"/>
      <color indexed="8"/>
      <name val="Calibri"/>
      <family val="2"/>
    </font>
    <font>
      <sz val="11"/>
      <color indexed="9"/>
      <name val="Calibri"/>
      <family val="2"/>
    </font>
    <font>
      <sz val="9"/>
      <name val="Tahoma"/>
      <family val="2"/>
    </font>
    <font>
      <sz val="11"/>
      <color indexed="20"/>
      <name val="Calibri"/>
      <family val="2"/>
    </font>
    <font>
      <b/>
      <sz val="11"/>
      <color indexed="52"/>
      <name val="Calibri"/>
      <family val="2"/>
    </font>
    <font>
      <b/>
      <sz val="11"/>
      <color indexed="9"/>
      <name val="Calibri"/>
      <family val="2"/>
    </font>
    <font>
      <b/>
      <sz val="9"/>
      <name val="Tahoma"/>
      <family val="2"/>
    </font>
    <font>
      <b/>
      <sz val="14.05"/>
      <color indexed="8"/>
      <name val="Times New Roman"/>
      <family val="1"/>
    </font>
    <font>
      <b/>
      <sz val="14"/>
      <color indexed="8"/>
      <name val="Times New Roman"/>
      <family val="1"/>
    </font>
    <font>
      <sz val="10"/>
      <name val="Courier"/>
      <family val="3"/>
    </font>
    <font>
      <sz val="9"/>
      <name val="Arial"/>
      <family val="2"/>
    </font>
    <font>
      <i/>
      <sz val="11"/>
      <color indexed="23"/>
      <name val="Calibri"/>
      <family val="2"/>
    </font>
    <font>
      <sz val="11"/>
      <color indexed="17"/>
      <name val="Calibri"/>
      <family val="2"/>
    </font>
    <font>
      <b/>
      <sz val="10"/>
      <name val="Tahoma"/>
      <family val="2"/>
    </font>
    <font>
      <u/>
      <sz val="12"/>
      <name val="Tahoma"/>
      <family val="2"/>
    </font>
    <font>
      <i/>
      <u/>
      <sz val="11"/>
      <name val="Tahoma"/>
      <family val="2"/>
    </font>
    <font>
      <u/>
      <sz val="11"/>
      <name val="Tahoma"/>
      <family val="2"/>
    </font>
    <font>
      <i/>
      <u/>
      <sz val="10"/>
      <name val="Tahoma"/>
      <family val="2"/>
    </font>
    <font>
      <u/>
      <sz val="10"/>
      <name val="Tahoma"/>
      <family val="2"/>
    </font>
    <font>
      <i/>
      <u/>
      <sz val="9"/>
      <name val="Tahoma"/>
      <family val="2"/>
    </font>
    <font>
      <u/>
      <sz val="9"/>
      <name val="Tahom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7"/>
      <name val="Small Fonts"/>
      <family val="2"/>
    </font>
    <font>
      <sz val="10"/>
      <name val="Times New Roman"/>
      <family val="1"/>
    </font>
    <font>
      <sz val="10"/>
      <color indexed="8"/>
      <name val="Arial"/>
      <family val="2"/>
    </font>
    <font>
      <b/>
      <sz val="11"/>
      <color indexed="63"/>
      <name val="Calibri"/>
      <family val="2"/>
    </font>
    <font>
      <sz val="10"/>
      <name val="MS Sans Serif"/>
      <family val="2"/>
    </font>
    <font>
      <b/>
      <sz val="10"/>
      <name val="MS Sans Serif"/>
      <family val="2"/>
    </font>
    <font>
      <b/>
      <sz val="14"/>
      <name val="Geneva"/>
      <family val="2"/>
    </font>
    <font>
      <b/>
      <sz val="14"/>
      <name val="Geneva"/>
      <family val="2"/>
    </font>
    <font>
      <b/>
      <u/>
      <sz val="10"/>
      <name val="Tahoma"/>
      <family val="2"/>
    </font>
    <font>
      <b/>
      <sz val="18"/>
      <color indexed="56"/>
      <name val="Cambria"/>
      <family val="2"/>
    </font>
    <font>
      <b/>
      <sz val="11"/>
      <name val="Tahoma"/>
      <family val="2"/>
    </font>
    <font>
      <b/>
      <sz val="11"/>
      <color indexed="8"/>
      <name val="Calibri"/>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sz val="11"/>
      <color indexed="10"/>
      <name val="Calibri"/>
      <family val="2"/>
    </font>
    <font>
      <sz val="9"/>
      <color indexed="81"/>
      <name val="Tahoma"/>
      <family val="2"/>
    </font>
    <font>
      <b/>
      <sz val="9"/>
      <color indexed="81"/>
      <name val="Tahoma"/>
      <family val="2"/>
    </font>
    <font>
      <b/>
      <sz val="11"/>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b/>
      <i/>
      <sz val="9"/>
      <color theme="1"/>
      <name val="Calibri"/>
      <family val="2"/>
      <scheme val="minor"/>
    </font>
    <font>
      <b/>
      <sz val="11"/>
      <color theme="0"/>
      <name val="Wingdings"/>
      <charset val="2"/>
    </font>
    <font>
      <b/>
      <sz val="14"/>
      <color theme="0"/>
      <name val="Calibri"/>
      <family val="2"/>
      <scheme val="minor"/>
    </font>
    <font>
      <b/>
      <u/>
      <sz val="11"/>
      <name val="Calibri"/>
      <family val="2"/>
      <scheme val="minor"/>
    </font>
    <font>
      <sz val="12"/>
      <color theme="1"/>
      <name val="Calibri"/>
      <family val="2"/>
      <scheme val="minor"/>
    </font>
    <font>
      <i/>
      <sz val="12"/>
      <color theme="1"/>
      <name val="Calibri"/>
      <family val="2"/>
      <scheme val="minor"/>
    </font>
    <font>
      <sz val="14"/>
      <color theme="1"/>
      <name val="Calibri"/>
      <family val="2"/>
      <scheme val="minor"/>
    </font>
    <font>
      <sz val="8"/>
      <color theme="1"/>
      <name val="Calibri"/>
      <family val="2"/>
      <scheme val="minor"/>
    </font>
    <font>
      <b/>
      <sz val="18"/>
      <color theme="1"/>
      <name val="Calibri"/>
      <family val="2"/>
      <scheme val="minor"/>
    </font>
    <font>
      <b/>
      <u/>
      <sz val="11"/>
      <color theme="1"/>
      <name val="Calibri"/>
      <family val="2"/>
      <scheme val="minor"/>
    </font>
    <font>
      <sz val="24"/>
      <color theme="1"/>
      <name val="Calibri"/>
      <family val="2"/>
      <scheme val="minor"/>
    </font>
    <font>
      <sz val="20"/>
      <color theme="1"/>
      <name val="Calibri"/>
      <family val="2"/>
      <scheme val="minor"/>
    </font>
    <font>
      <b/>
      <i/>
      <sz val="10"/>
      <color theme="1"/>
      <name val="Calibri"/>
      <family val="2"/>
      <scheme val="minor"/>
    </font>
    <font>
      <sz val="11"/>
      <color theme="9" tint="-0.249977111117893"/>
      <name val="Calibri"/>
      <family val="2"/>
      <scheme val="minor"/>
    </font>
    <font>
      <b/>
      <i/>
      <sz val="11"/>
      <color theme="1"/>
      <name val="Calibri"/>
      <family val="2"/>
      <scheme val="minor"/>
    </font>
    <font>
      <b/>
      <sz val="12"/>
      <color theme="0"/>
      <name val="Calibri"/>
      <family val="2"/>
      <scheme val="minor"/>
    </font>
    <font>
      <b/>
      <sz val="18"/>
      <color theme="0"/>
      <name val="Calibri"/>
      <family val="2"/>
      <scheme val="minor"/>
    </font>
    <font>
      <i/>
      <sz val="10"/>
      <color theme="0"/>
      <name val="Calibri"/>
      <family val="2"/>
      <scheme val="minor"/>
    </font>
    <font>
      <u/>
      <sz val="11"/>
      <color theme="10"/>
      <name val="Calibri"/>
      <family val="2"/>
    </font>
    <font>
      <sz val="11"/>
      <color rgb="FFFF0000"/>
      <name val="Calibri"/>
      <family val="2"/>
      <scheme val="minor"/>
    </font>
    <font>
      <b/>
      <sz val="8"/>
      <color indexed="81"/>
      <name val="Tahoma"/>
      <family val="2"/>
    </font>
    <font>
      <b/>
      <sz val="10"/>
      <color theme="0"/>
      <name val="Calibri"/>
      <family val="2"/>
      <scheme val="minor"/>
    </font>
    <font>
      <sz val="10"/>
      <color theme="1"/>
      <name val="Calibri"/>
      <family val="2"/>
      <scheme val="minor"/>
    </font>
    <font>
      <b/>
      <sz val="10"/>
      <color theme="1"/>
      <name val="Calibri"/>
      <family val="2"/>
      <scheme val="minor"/>
    </font>
    <font>
      <sz val="10"/>
      <color theme="0"/>
      <name val="Calibri"/>
      <family val="2"/>
      <scheme val="minor"/>
    </font>
    <font>
      <b/>
      <sz val="14"/>
      <name val="Calibri"/>
      <family val="2"/>
      <scheme val="minor"/>
    </font>
    <font>
      <sz val="14"/>
      <name val="Calibri"/>
      <family val="2"/>
      <scheme val="minor"/>
    </font>
    <font>
      <b/>
      <sz val="10"/>
      <color theme="9" tint="-0.499984740745262"/>
      <name val="Calibri"/>
      <family val="2"/>
      <scheme val="minor"/>
    </font>
    <font>
      <sz val="8"/>
      <color indexed="81"/>
      <name val="Tahoma"/>
      <family val="2"/>
    </font>
    <font>
      <sz val="10"/>
      <name val="Calibri"/>
      <family val="2"/>
      <scheme val="minor"/>
    </font>
    <font>
      <sz val="10"/>
      <color rgb="FFFF0000"/>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i/>
      <sz val="10"/>
      <color theme="0"/>
      <name val="Calibri"/>
      <family val="2"/>
      <scheme val="minor"/>
    </font>
    <font>
      <b/>
      <i/>
      <sz val="14"/>
      <name val="Calibri"/>
      <family val="2"/>
      <scheme val="minor"/>
    </font>
    <font>
      <i/>
      <sz val="11"/>
      <color theme="1"/>
      <name val="Calibri"/>
      <family val="2"/>
      <scheme val="minor"/>
    </font>
    <font>
      <i/>
      <sz val="10"/>
      <color theme="1"/>
      <name val="Calibri"/>
      <family val="2"/>
      <scheme val="minor"/>
    </font>
    <font>
      <i/>
      <sz val="10"/>
      <color rgb="FFFF0000"/>
      <name val="Calibri"/>
      <family val="2"/>
      <scheme val="minor"/>
    </font>
    <font>
      <strike/>
      <sz val="11"/>
      <color theme="1"/>
      <name val="Calibri"/>
      <family val="2"/>
      <scheme val="minor"/>
    </font>
    <font>
      <strike/>
      <sz val="11"/>
      <color theme="9" tint="-0.249977111117893"/>
      <name val="Calibri"/>
      <family val="2"/>
      <scheme val="minor"/>
    </font>
    <font>
      <sz val="9"/>
      <name val="Calibri"/>
      <family val="2"/>
      <scheme val="minor"/>
    </font>
    <font>
      <b/>
      <sz val="16"/>
      <color theme="1"/>
      <name val="Calibri"/>
      <family val="2"/>
      <scheme val="minor"/>
    </font>
    <font>
      <b/>
      <i/>
      <sz val="18"/>
      <color theme="1"/>
      <name val="Calibri"/>
      <family val="2"/>
      <scheme val="minor"/>
    </font>
    <font>
      <i/>
      <sz val="18"/>
      <color theme="1"/>
      <name val="Calibri"/>
      <family val="2"/>
      <scheme val="minor"/>
    </font>
    <font>
      <i/>
      <sz val="10"/>
      <name val="Calibri"/>
      <family val="2"/>
      <scheme val="minor"/>
    </font>
    <font>
      <b/>
      <sz val="11"/>
      <color rgb="FFFF0000"/>
      <name val="Calibri"/>
      <family val="2"/>
      <scheme val="minor"/>
    </font>
    <font>
      <u/>
      <sz val="11"/>
      <color theme="1"/>
      <name val="Calibri"/>
      <family val="2"/>
      <scheme val="minor"/>
    </font>
    <font>
      <i/>
      <sz val="9"/>
      <color theme="1"/>
      <name val="Calibri"/>
      <family val="2"/>
      <scheme val="minor"/>
    </font>
    <font>
      <b/>
      <i/>
      <u/>
      <sz val="11"/>
      <color theme="1"/>
      <name val="Calibri"/>
      <family val="2"/>
      <scheme val="minor"/>
    </font>
    <font>
      <u/>
      <sz val="10"/>
      <name val="Calibri"/>
      <family val="2"/>
    </font>
    <font>
      <b/>
      <sz val="11"/>
      <name val="Calibri"/>
      <family val="2"/>
      <scheme val="minor"/>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15"/>
        <bgColor indexed="1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theme="3"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theme="1" tint="4.9989318521683403E-2"/>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rgb="FF7030A0"/>
        <bgColor indexed="64"/>
      </patternFill>
    </fill>
    <fill>
      <patternFill patternType="solid">
        <fgColor theme="1"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FF000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499984740745262"/>
        <bgColor indexed="64"/>
      </patternFill>
    </fill>
    <fill>
      <patternFill patternType="solid">
        <fgColor rgb="FF0070C0"/>
        <bgColor indexed="64"/>
      </patternFill>
    </fill>
    <fill>
      <patternFill patternType="solid">
        <fgColor theme="1" tint="0.14999847407452621"/>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9" tint="-0.499984740745262"/>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rgb="FFFFFF66"/>
        <bgColor indexed="64"/>
      </patternFill>
    </fill>
    <fill>
      <patternFill patternType="solid">
        <fgColor theme="5" tint="0.79998168889431442"/>
        <bgColor indexed="64"/>
      </patternFill>
    </fill>
    <fill>
      <patternFill patternType="solid">
        <fgColor theme="2" tint="-9.9978637043366805E-2"/>
        <bgColor indexed="64"/>
      </patternFill>
    </fill>
  </fills>
  <borders count="1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hair">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hair">
        <color indexed="22"/>
      </bottom>
      <diagonal/>
    </border>
    <border>
      <left/>
      <right/>
      <top style="thin">
        <color indexed="64"/>
      </top>
      <bottom style="double">
        <color indexed="64"/>
      </bottom>
      <diagonal/>
    </border>
    <border>
      <left/>
      <right/>
      <top/>
      <bottom style="medium">
        <color indexed="64"/>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ck">
        <color indexed="64"/>
      </right>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theme="0"/>
      </left>
      <right style="thick">
        <color theme="0"/>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style="thick">
        <color theme="0"/>
      </bottom>
      <diagonal/>
    </border>
    <border>
      <left style="thick">
        <color theme="0"/>
      </left>
      <right/>
      <top style="thick">
        <color theme="0"/>
      </top>
      <bottom style="thin">
        <color indexed="64"/>
      </bottom>
      <diagonal/>
    </border>
    <border>
      <left/>
      <right/>
      <top style="thick">
        <color theme="0"/>
      </top>
      <bottom style="thin">
        <color indexed="64"/>
      </bottom>
      <diagonal/>
    </border>
    <border>
      <left/>
      <right style="thick">
        <color theme="0"/>
      </right>
      <top style="thick">
        <color theme="0"/>
      </top>
      <bottom style="thin">
        <color indexed="64"/>
      </bottom>
      <diagonal/>
    </border>
    <border>
      <left/>
      <right/>
      <top style="hair">
        <color auto="1"/>
      </top>
      <bottom style="hair">
        <color auto="1"/>
      </bottom>
      <diagonal/>
    </border>
    <border>
      <left style="thick">
        <color theme="0" tint="-4.9989318521683403E-2"/>
      </left>
      <right/>
      <top/>
      <bottom style="thick">
        <color theme="0" tint="-4.9989318521683403E-2"/>
      </bottom>
      <diagonal/>
    </border>
    <border>
      <left/>
      <right/>
      <top/>
      <bottom style="thick">
        <color theme="0" tint="-4.9989318521683403E-2"/>
      </bottom>
      <diagonal/>
    </border>
    <border>
      <left style="thick">
        <color theme="0" tint="-4.9989318521683403E-2"/>
      </left>
      <right/>
      <top style="thick">
        <color theme="0" tint="-4.9989318521683403E-2"/>
      </top>
      <bottom/>
      <diagonal/>
    </border>
    <border>
      <left/>
      <right/>
      <top style="thick">
        <color theme="0" tint="-4.9989318521683403E-2"/>
      </top>
      <bottom/>
      <diagonal/>
    </border>
    <border>
      <left style="thick">
        <color theme="0"/>
      </left>
      <right/>
      <top style="thin">
        <color indexed="64"/>
      </top>
      <bottom style="thick">
        <color theme="0"/>
      </bottom>
      <diagonal/>
    </border>
    <border>
      <left/>
      <right/>
      <top style="thin">
        <color indexed="64"/>
      </top>
      <bottom style="thick">
        <color theme="0"/>
      </bottom>
      <diagonal/>
    </border>
    <border>
      <left/>
      <right style="thick">
        <color theme="0"/>
      </right>
      <top style="thin">
        <color indexed="64"/>
      </top>
      <bottom style="thick">
        <color theme="0"/>
      </bottom>
      <diagonal/>
    </border>
    <border>
      <left style="thick">
        <color theme="0"/>
      </left>
      <right/>
      <top/>
      <bottom style="thin">
        <color indexed="64"/>
      </bottom>
      <diagonal/>
    </border>
    <border>
      <left/>
      <right/>
      <top/>
      <bottom style="thin">
        <color indexed="64"/>
      </bottom>
      <diagonal/>
    </border>
    <border>
      <left/>
      <right style="thick">
        <color theme="0"/>
      </right>
      <top/>
      <bottom style="thin">
        <color indexed="64"/>
      </bottom>
      <diagonal/>
    </border>
    <border>
      <left/>
      <right style="medium">
        <color indexed="64"/>
      </right>
      <top style="medium">
        <color indexed="64"/>
      </top>
      <bottom style="medium">
        <color indexed="64"/>
      </bottom>
      <diagonal/>
    </border>
    <border>
      <left/>
      <right/>
      <top style="double">
        <color indexed="64"/>
      </top>
      <bottom/>
      <diagonal/>
    </border>
    <border>
      <left style="thin">
        <color indexed="64"/>
      </left>
      <right/>
      <top style="thin">
        <color indexed="64"/>
      </top>
      <bottom style="thin">
        <color indexed="64"/>
      </bottom>
      <diagonal/>
    </border>
    <border>
      <left/>
      <right/>
      <top style="medium">
        <color indexed="64"/>
      </top>
      <bottom style="hair">
        <color indexed="64"/>
      </bottom>
      <diagonal/>
    </border>
    <border>
      <left/>
      <right/>
      <top style="hair">
        <color auto="1"/>
      </top>
      <bottom/>
      <diagonal/>
    </border>
    <border>
      <left/>
      <right style="thick">
        <color theme="0"/>
      </right>
      <top style="thin">
        <color theme="1"/>
      </top>
      <bottom style="thick">
        <color theme="0"/>
      </bottom>
      <diagonal/>
    </border>
    <border>
      <left/>
      <right/>
      <top style="thin">
        <color indexed="64"/>
      </top>
      <bottom/>
      <diagonal/>
    </border>
    <border>
      <left/>
      <right/>
      <top style="thick">
        <color theme="0"/>
      </top>
      <bottom style="medium">
        <color indexed="64"/>
      </bottom>
      <diagonal/>
    </border>
    <border>
      <left style="thick">
        <color theme="0"/>
      </left>
      <right/>
      <top style="thick">
        <color theme="0"/>
      </top>
      <bottom style="medium">
        <color indexed="64"/>
      </bottom>
      <diagonal/>
    </border>
    <border>
      <left/>
      <right style="thick">
        <color theme="0"/>
      </right>
      <top style="thick">
        <color theme="0"/>
      </top>
      <bottom style="medium">
        <color indexed="64"/>
      </bottom>
      <diagonal/>
    </border>
    <border>
      <left style="thick">
        <color theme="0"/>
      </left>
      <right/>
      <top style="hair">
        <color auto="1"/>
      </top>
      <bottom style="hair">
        <color auto="1"/>
      </bottom>
      <diagonal/>
    </border>
    <border>
      <left/>
      <right style="thick">
        <color theme="0"/>
      </right>
      <top style="hair">
        <color auto="1"/>
      </top>
      <bottom style="hair">
        <color auto="1"/>
      </bottom>
      <diagonal/>
    </border>
    <border>
      <left/>
      <right/>
      <top/>
      <bottom style="hair">
        <color indexed="64"/>
      </bottom>
      <diagonal/>
    </border>
    <border>
      <left style="thick">
        <color theme="0"/>
      </left>
      <right/>
      <top style="thin">
        <color auto="1"/>
      </top>
      <bottom style="thin">
        <color auto="1"/>
      </bottom>
      <diagonal/>
    </border>
    <border>
      <left/>
      <right/>
      <top style="thin">
        <color auto="1"/>
      </top>
      <bottom style="thin">
        <color auto="1"/>
      </bottom>
      <diagonal/>
    </border>
    <border>
      <left style="thick">
        <color theme="0"/>
      </left>
      <right/>
      <top style="thin">
        <color auto="1"/>
      </top>
      <bottom style="thick">
        <color auto="1"/>
      </bottom>
      <diagonal/>
    </border>
    <border>
      <left/>
      <right/>
      <top style="thin">
        <color auto="1"/>
      </top>
      <bottom style="thick">
        <color auto="1"/>
      </bottom>
      <diagonal/>
    </border>
    <border>
      <left/>
      <right/>
      <top style="thin">
        <color theme="1"/>
      </top>
      <bottom style="thin">
        <color theme="1"/>
      </bottom>
      <diagonal/>
    </border>
    <border>
      <left/>
      <right style="thick">
        <color theme="0"/>
      </right>
      <top style="thin">
        <color indexed="64"/>
      </top>
      <bottom style="thin">
        <color indexed="64"/>
      </bottom>
      <diagonal/>
    </border>
    <border>
      <left/>
      <right style="thick">
        <color theme="0"/>
      </right>
      <top style="thin">
        <color indexed="64"/>
      </top>
      <bottom style="thick">
        <color auto="1"/>
      </bottom>
      <diagonal/>
    </border>
    <border>
      <left/>
      <right/>
      <top style="hair">
        <color theme="1"/>
      </top>
      <bottom style="hair">
        <color theme="1"/>
      </bottom>
      <diagonal/>
    </border>
    <border>
      <left/>
      <right/>
      <top style="thin">
        <color theme="1"/>
      </top>
      <bottom style="thick">
        <color theme="0"/>
      </bottom>
      <diagonal/>
    </border>
    <border>
      <left style="thick">
        <color theme="0"/>
      </left>
      <right/>
      <top style="medium">
        <color indexed="64"/>
      </top>
      <bottom/>
      <diagonal/>
    </border>
    <border>
      <left/>
      <right/>
      <top style="thin">
        <color auto="1"/>
      </top>
      <bottom style="thin">
        <color theme="1"/>
      </bottom>
      <diagonal/>
    </border>
    <border>
      <left/>
      <right style="thick">
        <color theme="0"/>
      </right>
      <top style="thin">
        <color theme="1"/>
      </top>
      <bottom style="thin">
        <color theme="1"/>
      </bottom>
      <diagonal/>
    </border>
    <border>
      <left/>
      <right/>
      <top style="thick">
        <color auto="1"/>
      </top>
      <bottom style="thin">
        <color indexed="64"/>
      </bottom>
      <diagonal/>
    </border>
    <border>
      <left/>
      <right style="thick">
        <color theme="0"/>
      </right>
      <top style="thick">
        <color auto="1"/>
      </top>
      <bottom style="thin">
        <color indexed="64"/>
      </bottom>
      <diagonal/>
    </border>
    <border>
      <left style="thick">
        <color theme="0"/>
      </left>
      <right/>
      <top style="thick">
        <color auto="1"/>
      </top>
      <bottom style="thin">
        <color indexed="64"/>
      </bottom>
      <diagonal/>
    </border>
    <border>
      <left/>
      <right style="thick">
        <color theme="0"/>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ck">
        <color theme="1"/>
      </left>
      <right/>
      <top style="hair">
        <color auto="1"/>
      </top>
      <bottom style="hair">
        <color auto="1"/>
      </bottom>
      <diagonal/>
    </border>
    <border>
      <left/>
      <right style="thick">
        <color theme="1"/>
      </right>
      <top style="hair">
        <color auto="1"/>
      </top>
      <bottom style="hair">
        <color auto="1"/>
      </bottom>
      <diagonal/>
    </border>
    <border>
      <left style="thick">
        <color theme="1"/>
      </left>
      <right/>
      <top/>
      <bottom/>
      <diagonal/>
    </border>
    <border>
      <left/>
      <right style="thick">
        <color theme="1"/>
      </right>
      <top/>
      <bottom/>
      <diagonal/>
    </border>
    <border>
      <left style="thick">
        <color theme="0"/>
      </left>
      <right/>
      <top style="thick">
        <color theme="0" tint="-4.9989318521683403E-2"/>
      </top>
      <bottom style="hair">
        <color auto="1"/>
      </bottom>
      <diagonal/>
    </border>
    <border>
      <left/>
      <right/>
      <top style="thick">
        <color theme="0" tint="-4.9989318521683403E-2"/>
      </top>
      <bottom style="hair">
        <color auto="1"/>
      </bottom>
      <diagonal/>
    </border>
    <border>
      <left/>
      <right style="thick">
        <color theme="0"/>
      </right>
      <top style="thick">
        <color theme="0" tint="-4.9989318521683403E-2"/>
      </top>
      <bottom style="hair">
        <color auto="1"/>
      </bottom>
      <diagonal/>
    </border>
    <border>
      <left style="thick">
        <color theme="0"/>
      </left>
      <right style="thick">
        <color theme="0"/>
      </right>
      <top style="medium">
        <color indexed="64"/>
      </top>
      <bottom/>
      <diagonal/>
    </border>
    <border>
      <left/>
      <right style="thick">
        <color theme="0"/>
      </right>
      <top/>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s>
  <cellStyleXfs count="1039">
    <xf numFmtId="0" fontId="0"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4" fontId="7" fillId="0" borderId="0"/>
    <xf numFmtId="14" fontId="7" fillId="0" borderId="0"/>
    <xf numFmtId="14" fontId="7" fillId="0" borderId="0"/>
    <xf numFmtId="14" fontId="2" fillId="0" borderId="0" applyBorder="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1" fillId="22" borderId="0" applyNumberFormat="0">
      <alignment horizontal="center"/>
    </xf>
    <xf numFmtId="43" fontId="54"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4" fontId="54" fillId="0" borderId="0" applyFont="0" applyFill="0" applyBorder="0" applyAlignment="0" applyProtection="0"/>
    <xf numFmtId="44" fontId="2"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39" fontId="7" fillId="0" borderId="0">
      <alignment horizontal="right"/>
    </xf>
    <xf numFmtId="39" fontId="7" fillId="0" borderId="0">
      <alignment horizontal="right"/>
    </xf>
    <xf numFmtId="39" fontId="7" fillId="0" borderId="0">
      <alignment horizontal="right"/>
    </xf>
    <xf numFmtId="43" fontId="2" fillId="0" borderId="0" applyBorder="0">
      <alignment horizontal="right"/>
    </xf>
    <xf numFmtId="0" fontId="14" fillId="23" borderId="0"/>
    <xf numFmtId="0" fontId="14" fillId="0" borderId="3"/>
    <xf numFmtId="166" fontId="2" fillId="0" borderId="0" applyFont="0" applyFill="0" applyBorder="0" applyAlignment="0" applyProtection="0"/>
    <xf numFmtId="167" fontId="15" fillId="0" borderId="0" applyFill="0" applyProtection="0">
      <alignment vertical="center"/>
    </xf>
    <xf numFmtId="0" fontId="2" fillId="0" borderId="4" applyNumberFormat="0" applyFon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5" fontId="7" fillId="0" borderId="0" applyBorder="0"/>
    <xf numFmtId="168" fontId="2"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0">
      <alignment horizontal="left" indent="2"/>
    </xf>
    <xf numFmtId="38" fontId="4" fillId="24" borderId="0" applyNumberFormat="0" applyBorder="0" applyAlignment="0" applyProtection="0"/>
    <xf numFmtId="0" fontId="2" fillId="0" borderId="0"/>
    <xf numFmtId="0" fontId="19" fillId="0" borderId="0" applyNumberFormat="0" applyFill="0" applyBorder="0" applyAlignment="0" applyProtection="0">
      <alignment horizontal="left"/>
    </xf>
    <xf numFmtId="0" fontId="20" fillId="0" borderId="0" applyNumberFormat="0" applyFill="0" applyBorder="0" applyAlignment="0" applyProtection="0">
      <alignment horizontal="left"/>
    </xf>
    <xf numFmtId="0" fontId="21" fillId="0" borderId="0" applyNumberFormat="0" applyFill="0" applyBorder="0" applyAlignment="0" applyProtection="0">
      <alignment horizontal="left"/>
    </xf>
    <xf numFmtId="0" fontId="22" fillId="0" borderId="0" applyNumberFormat="0" applyFill="0" applyBorder="0" applyAlignment="0" applyProtection="0">
      <alignment horizontal="left"/>
    </xf>
    <xf numFmtId="0" fontId="23" fillId="0" borderId="0" applyNumberFormat="0" applyFill="0" applyAlignment="0" applyProtection="0">
      <alignment horizontal="left"/>
    </xf>
    <xf numFmtId="0" fontId="22" fillId="0" borderId="0" applyNumberFormat="0" applyFill="0" applyBorder="0" applyAlignment="0" applyProtection="0">
      <alignment horizontal="left"/>
    </xf>
    <xf numFmtId="0" fontId="23" fillId="0" borderId="0" applyNumberFormat="0" applyFill="0" applyBorder="0" applyAlignment="0" applyProtection="0">
      <alignment horizontal="left"/>
    </xf>
    <xf numFmtId="0" fontId="24" fillId="0" borderId="0" applyNumberFormat="0" applyFill="0" applyBorder="0" applyAlignment="0" applyProtection="0">
      <alignment horizontal="left"/>
    </xf>
    <xf numFmtId="0" fontId="25" fillId="0" borderId="0" applyNumberFormat="0" applyFill="0" applyBorder="0" applyAlignment="0" applyProtection="0">
      <alignment horizontal="left"/>
    </xf>
    <xf numFmtId="0" fontId="1" fillId="0" borderId="5" applyNumberFormat="0" applyAlignment="0" applyProtection="0">
      <alignment horizontal="left" vertical="center"/>
    </xf>
    <xf numFmtId="0" fontId="1" fillId="0" borderId="6">
      <alignment horizontal="left" vertical="center"/>
    </xf>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22" borderId="10" applyNumberFormat="0" applyFont="0" applyBorder="0" applyAlignment="0" applyProtection="0"/>
    <xf numFmtId="37" fontId="7" fillId="0" borderId="0" applyBorder="0"/>
    <xf numFmtId="37" fontId="7" fillId="0" borderId="0" applyBorder="0"/>
    <xf numFmtId="37" fontId="7" fillId="0" borderId="0" applyBorder="0"/>
    <xf numFmtId="42" fontId="2" fillId="0" borderId="0" applyBorder="0"/>
    <xf numFmtId="10" fontId="4" fillId="25" borderId="11" applyNumberFormat="0" applyBorder="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169" fontId="7" fillId="0" borderId="0"/>
    <xf numFmtId="169" fontId="7" fillId="0" borderId="0"/>
    <xf numFmtId="169" fontId="7" fillId="0" borderId="0"/>
    <xf numFmtId="169" fontId="2" fillId="0" borderId="0" applyBorder="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37" fontId="32" fillId="0" borderId="0"/>
    <xf numFmtId="170" fontId="33" fillId="0" borderId="0"/>
    <xf numFmtId="0" fontId="2" fillId="0" borderId="0"/>
    <xf numFmtId="0" fontId="2" fillId="0" borderId="0"/>
    <xf numFmtId="0" fontId="54" fillId="0" borderId="0"/>
    <xf numFmtId="0" fontId="54" fillId="0" borderId="0"/>
    <xf numFmtId="0" fontId="54" fillId="0" borderId="0"/>
    <xf numFmtId="0" fontId="54" fillId="0" borderId="0"/>
    <xf numFmtId="0" fontId="2" fillId="0" borderId="0"/>
    <xf numFmtId="0" fontId="54" fillId="0" borderId="0"/>
    <xf numFmtId="0" fontId="54" fillId="0" borderId="0"/>
    <xf numFmtId="0" fontId="2" fillId="0" borderId="0"/>
    <xf numFmtId="0" fontId="2" fillId="0" borderId="0"/>
    <xf numFmtId="0" fontId="34" fillId="0" borderId="0">
      <alignment vertical="top"/>
    </xf>
    <xf numFmtId="0" fontId="2" fillId="0" borderId="0"/>
    <xf numFmtId="0" fontId="3" fillId="0" borderId="0"/>
    <xf numFmtId="0" fontId="54" fillId="0" borderId="0"/>
    <xf numFmtId="0" fontId="2" fillId="0" borderId="0"/>
    <xf numFmtId="0" fontId="2"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2"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2"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2" fillId="0" borderId="0"/>
    <xf numFmtId="0" fontId="34" fillId="0" borderId="0">
      <alignment vertical="top"/>
    </xf>
    <xf numFmtId="0" fontId="34" fillId="0" borderId="0">
      <alignment vertical="top"/>
    </xf>
    <xf numFmtId="0" fontId="34" fillId="0" borderId="0">
      <alignment vertical="top"/>
    </xf>
    <xf numFmtId="0" fontId="2" fillId="0" borderId="0"/>
    <xf numFmtId="0" fontId="2"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 fillId="0" borderId="0"/>
    <xf numFmtId="0" fontId="54"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54"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3" fillId="27" borderId="13" applyNumberFormat="0" applyFont="0" applyAlignment="0" applyProtection="0"/>
    <xf numFmtId="0" fontId="3" fillId="27" borderId="13" applyNumberFormat="0" applyFont="0" applyAlignment="0" applyProtection="0"/>
    <xf numFmtId="0" fontId="3" fillId="27" borderId="13" applyNumberFormat="0" applyFont="0" applyAlignment="0" applyProtection="0"/>
    <xf numFmtId="0" fontId="3" fillId="27" borderId="13" applyNumberFormat="0" applyFont="0" applyAlignment="0" applyProtection="0"/>
    <xf numFmtId="0" fontId="3" fillId="27" borderId="13" applyNumberFormat="0" applyFont="0" applyAlignment="0" applyProtection="0"/>
    <xf numFmtId="0" fontId="3" fillId="27" borderId="13" applyNumberFormat="0" applyFont="0" applyAlignment="0" applyProtection="0"/>
    <xf numFmtId="0" fontId="3" fillId="27" borderId="13" applyNumberFormat="0" applyFont="0" applyAlignment="0" applyProtection="0"/>
    <xf numFmtId="0" fontId="3" fillId="27" borderId="13" applyNumberFormat="0" applyFont="0" applyAlignment="0" applyProtection="0"/>
    <xf numFmtId="0" fontId="3" fillId="27" borderId="13" applyNumberFormat="0" applyFont="0" applyAlignment="0" applyProtection="0"/>
    <xf numFmtId="0" fontId="3" fillId="27" borderId="13" applyNumberFormat="0" applyFont="0" applyAlignment="0" applyProtection="0"/>
    <xf numFmtId="0" fontId="3" fillId="27" borderId="13" applyNumberFormat="0" applyFont="0" applyAlignment="0" applyProtection="0"/>
    <xf numFmtId="0" fontId="3" fillId="27" borderId="13" applyNumberFormat="0" applyFont="0" applyAlignment="0" applyProtection="0"/>
    <xf numFmtId="0" fontId="2" fillId="0" borderId="4" applyNumberFormat="0" applyFont="0" applyFill="0" applyAlignment="0" applyProtection="0"/>
    <xf numFmtId="0" fontId="35" fillId="20" borderId="14" applyNumberFormat="0" applyAlignment="0" applyProtection="0"/>
    <xf numFmtId="0" fontId="35" fillId="20" borderId="14" applyNumberFormat="0" applyAlignment="0" applyProtection="0"/>
    <xf numFmtId="0" fontId="35" fillId="20" borderId="14" applyNumberFormat="0" applyAlignment="0" applyProtection="0"/>
    <xf numFmtId="0" fontId="35" fillId="20" borderId="14" applyNumberFormat="0" applyAlignment="0" applyProtection="0"/>
    <xf numFmtId="0" fontId="35" fillId="20" borderId="14" applyNumberFormat="0" applyAlignment="0" applyProtection="0"/>
    <xf numFmtId="0" fontId="35" fillId="20" borderId="14" applyNumberFormat="0" applyAlignment="0" applyProtection="0"/>
    <xf numFmtId="0" fontId="35" fillId="20" borderId="14" applyNumberFormat="0" applyAlignment="0" applyProtection="0"/>
    <xf numFmtId="0" fontId="35" fillId="20" borderId="14" applyNumberFormat="0" applyAlignment="0" applyProtection="0"/>
    <xf numFmtId="0" fontId="35" fillId="20" borderId="14" applyNumberFormat="0" applyAlignment="0" applyProtection="0"/>
    <xf numFmtId="0" fontId="35" fillId="20" borderId="14" applyNumberFormat="0" applyAlignment="0" applyProtection="0"/>
    <xf numFmtId="0" fontId="35" fillId="20" borderId="14" applyNumberFormat="0" applyAlignment="0" applyProtection="0"/>
    <xf numFmtId="0" fontId="35" fillId="20" borderId="14" applyNumberFormat="0" applyAlignment="0" applyProtection="0"/>
    <xf numFmtId="0" fontId="2" fillId="0" borderId="15" applyNumberFormat="0" applyFont="0" applyFill="0" applyAlignment="0" applyProtection="0"/>
    <xf numFmtId="0" fontId="2" fillId="0" borderId="16" applyNumberFormat="0" applyFont="0" applyFill="0" applyAlignment="0" applyProtection="0"/>
    <xf numFmtId="171" fontId="7" fillId="0" borderId="17" applyBorder="0"/>
    <xf numFmtId="9" fontId="54"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54" fillId="0" borderId="0" applyFont="0" applyFill="0" applyBorder="0" applyAlignment="0" applyProtection="0"/>
    <xf numFmtId="9" fontId="12"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0" fontId="37" fillId="0" borderId="17">
      <alignment horizontal="center"/>
    </xf>
    <xf numFmtId="3" fontId="36" fillId="0" borderId="0" applyFont="0" applyFill="0" applyBorder="0" applyAlignment="0" applyProtection="0"/>
    <xf numFmtId="0" fontId="36" fillId="28" borderId="0" applyNumberFormat="0" applyFont="0" applyBorder="0" applyAlignment="0" applyProtection="0"/>
    <xf numFmtId="0" fontId="38" fillId="0" borderId="0"/>
    <xf numFmtId="0" fontId="39"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22" borderId="0" applyNumberFormat="0" applyBorder="0" applyProtection="0">
      <alignment horizontal="center"/>
    </xf>
    <xf numFmtId="0" fontId="40" fillId="0" borderId="0">
      <alignment horizontal="left"/>
    </xf>
    <xf numFmtId="0" fontId="11" fillId="0" borderId="0">
      <alignment horizontal="left" indent="1"/>
    </xf>
    <xf numFmtId="49" fontId="7" fillId="0" borderId="0"/>
    <xf numFmtId="49" fontId="7" fillId="0" borderId="0"/>
    <xf numFmtId="49" fontId="7" fillId="0" borderId="0"/>
    <xf numFmtId="0" fontId="2" fillId="0" borderId="0" applyBorder="0"/>
    <xf numFmtId="49" fontId="2" fillId="0" borderId="0" applyFont="0" applyFill="0" applyBorder="0" applyAlignment="0" applyProtection="0"/>
    <xf numFmtId="18" fontId="7" fillId="0" borderId="0" applyFill="0" applyProtection="0">
      <alignment horizontal="center"/>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lignment horizontal="center"/>
    </xf>
    <xf numFmtId="0" fontId="18" fillId="0" borderId="0">
      <alignment horizontal="center"/>
    </xf>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4" fillId="0" borderId="0" applyNumberFormat="0" applyFill="0" applyBorder="0" applyAlignment="0" applyProtection="0">
      <alignment horizontal="left"/>
    </xf>
    <xf numFmtId="0" fontId="45" fillId="0" borderId="0" applyNumberFormat="0" applyFill="0" applyBorder="0" applyAlignment="0" applyProtection="0">
      <alignment horizontal="left"/>
    </xf>
    <xf numFmtId="0" fontId="46" fillId="0" borderId="0" applyNumberFormat="0" applyFill="0" applyBorder="0" applyAlignment="0" applyProtection="0">
      <alignment horizontal="left"/>
    </xf>
    <xf numFmtId="0" fontId="47" fillId="0" borderId="0" applyNumberFormat="0" applyFill="0" applyBorder="0" applyAlignment="0" applyProtection="0">
      <alignment horizontal="left"/>
    </xf>
    <xf numFmtId="0" fontId="48" fillId="0" borderId="0" applyNumberFormat="0" applyFill="0" applyBorder="0" applyAlignment="0" applyProtection="0">
      <alignment horizontal="left"/>
    </xf>
    <xf numFmtId="0" fontId="47" fillId="0" borderId="0" applyNumberFormat="0" applyFill="0" applyBorder="0" applyAlignment="0" applyProtection="0">
      <alignment horizontal="left"/>
    </xf>
    <xf numFmtId="0" fontId="48" fillId="0" borderId="0" applyNumberFormat="0" applyFill="0" applyBorder="0" applyAlignment="0" applyProtection="0">
      <alignment horizontal="left"/>
    </xf>
    <xf numFmtId="0" fontId="49" fillId="0" borderId="0">
      <alignment horizontal="left"/>
    </xf>
    <xf numFmtId="0" fontId="7" fillId="0" borderId="0" applyNumberFormat="0" applyFill="0" applyBorder="0" applyAlignment="0" applyProtection="0">
      <alignment horizontal="left"/>
    </xf>
    <xf numFmtId="0" fontId="2" fillId="22" borderId="0" applyNumberFormat="0" applyFont="0" applyBorder="0" applyAlignment="0" applyProtection="0"/>
    <xf numFmtId="0" fontId="2" fillId="0" borderId="17" applyNumberFormat="0" applyFont="0" applyFill="0" applyAlignment="0" applyProtection="0"/>
    <xf numFmtId="0" fontId="14" fillId="23"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79" fillId="0" borderId="0" applyNumberFormat="0" applyFill="0" applyBorder="0" applyAlignment="0" applyProtection="0">
      <alignment vertical="top"/>
      <protection locked="0"/>
    </xf>
  </cellStyleXfs>
  <cellXfs count="859">
    <xf numFmtId="0" fontId="0" fillId="0" borderId="0" xfId="0"/>
    <xf numFmtId="0" fontId="0" fillId="0" borderId="0" xfId="0" applyFill="1" applyAlignment="1">
      <alignment horizontal="center"/>
    </xf>
    <xf numFmtId="0" fontId="0" fillId="0" borderId="0" xfId="0"/>
    <xf numFmtId="0" fontId="58" fillId="0" borderId="0" xfId="0" applyFont="1" applyAlignment="1">
      <alignment horizontal="center"/>
    </xf>
    <xf numFmtId="0" fontId="0" fillId="0" borderId="0" xfId="0" applyBorder="1" applyAlignment="1">
      <alignment horizontal="center" wrapText="1"/>
    </xf>
    <xf numFmtId="0" fontId="0" fillId="0" borderId="0" xfId="0" applyBorder="1"/>
    <xf numFmtId="0" fontId="57" fillId="0" borderId="23" xfId="0" applyFont="1" applyBorder="1"/>
    <xf numFmtId="0" fontId="0" fillId="0" borderId="0" xfId="0" applyFill="1"/>
    <xf numFmtId="0" fontId="0" fillId="0" borderId="0" xfId="0" applyFill="1" applyBorder="1"/>
    <xf numFmtId="0" fontId="0" fillId="34" borderId="0" xfId="0" applyFill="1"/>
    <xf numFmtId="0" fontId="0" fillId="0" borderId="0" xfId="0" applyFill="1" applyBorder="1" applyAlignment="1">
      <alignment horizontal="left"/>
    </xf>
    <xf numFmtId="0" fontId="0" fillId="0" borderId="0" xfId="0" applyFill="1" applyBorder="1" applyAlignment="1">
      <alignment horizontal="left" wrapText="1"/>
    </xf>
    <xf numFmtId="0" fontId="0" fillId="0" borderId="0" xfId="0" applyFont="1"/>
    <xf numFmtId="164" fontId="0" fillId="0" borderId="17" xfId="0" applyNumberFormat="1" applyFill="1" applyBorder="1" applyAlignment="1">
      <alignment horizontal="center"/>
    </xf>
    <xf numFmtId="0" fontId="0" fillId="0" borderId="27" xfId="0" applyFill="1" applyBorder="1" applyAlignment="1">
      <alignment horizontal="center"/>
    </xf>
    <xf numFmtId="0" fontId="62" fillId="35" borderId="37" xfId="0" applyFont="1" applyFill="1" applyBorder="1" applyAlignment="1">
      <alignment horizontal="center"/>
    </xf>
    <xf numFmtId="0" fontId="62" fillId="0" borderId="37" xfId="0" applyFont="1" applyFill="1" applyBorder="1" applyAlignment="1">
      <alignment horizontal="center"/>
    </xf>
    <xf numFmtId="0" fontId="0" fillId="0" borderId="0" xfId="0" applyFill="1" applyBorder="1" applyAlignment="1">
      <alignment horizontal="center"/>
    </xf>
    <xf numFmtId="17" fontId="0" fillId="0" borderId="0" xfId="0" applyNumberFormat="1" applyFill="1" applyBorder="1" applyAlignment="1">
      <alignment horizontal="center"/>
    </xf>
    <xf numFmtId="164" fontId="0" fillId="0" borderId="0" xfId="0" applyNumberFormat="1" applyFill="1" applyBorder="1" applyAlignment="1">
      <alignment horizontal="center"/>
    </xf>
    <xf numFmtId="0" fontId="0" fillId="0" borderId="28" xfId="0" applyFill="1" applyBorder="1" applyAlignment="1">
      <alignment horizontal="center"/>
    </xf>
    <xf numFmtId="0" fontId="57" fillId="0" borderId="23" xfId="0" applyFont="1" applyBorder="1" applyAlignment="1">
      <alignment horizontal="center" wrapText="1"/>
    </xf>
    <xf numFmtId="0" fontId="62" fillId="31" borderId="37" xfId="0" applyFont="1" applyFill="1" applyBorder="1" applyAlignment="1">
      <alignment horizontal="center"/>
    </xf>
    <xf numFmtId="0" fontId="62" fillId="36" borderId="37" xfId="0" applyFont="1" applyFill="1" applyBorder="1" applyAlignment="1">
      <alignment horizontal="center"/>
    </xf>
    <xf numFmtId="0" fontId="63" fillId="31" borderId="0" xfId="0" applyFont="1" applyFill="1" applyAlignment="1">
      <alignment horizontal="center"/>
    </xf>
    <xf numFmtId="0" fontId="60" fillId="0" borderId="0" xfId="0" applyFont="1" applyFill="1" applyBorder="1" applyAlignment="1">
      <alignment horizontal="center"/>
    </xf>
    <xf numFmtId="0" fontId="65" fillId="0" borderId="0" xfId="0" applyFont="1" applyFill="1"/>
    <xf numFmtId="0" fontId="59" fillId="0" borderId="26" xfId="0" applyFont="1" applyFill="1" applyBorder="1" applyAlignment="1">
      <alignment horizontal="left" wrapText="1"/>
    </xf>
    <xf numFmtId="0" fontId="59" fillId="0" borderId="29" xfId="0" applyFont="1" applyFill="1" applyBorder="1" applyAlignment="1">
      <alignment horizontal="center" wrapText="1"/>
    </xf>
    <xf numFmtId="0" fontId="59" fillId="0" borderId="11" xfId="0" applyFont="1" applyFill="1" applyBorder="1" applyAlignment="1">
      <alignment horizontal="center" wrapText="1"/>
    </xf>
    <xf numFmtId="0" fontId="65" fillId="0" borderId="0" xfId="0" applyFont="1" applyFill="1" applyAlignment="1">
      <alignment wrapText="1"/>
    </xf>
    <xf numFmtId="0" fontId="65" fillId="0" borderId="25" xfId="0" applyFont="1" applyFill="1" applyBorder="1" applyAlignment="1">
      <alignment wrapText="1"/>
    </xf>
    <xf numFmtId="0" fontId="65" fillId="0" borderId="0" xfId="0" applyFont="1" applyFill="1" applyBorder="1" applyAlignment="1">
      <alignment horizontal="center" wrapText="1"/>
    </xf>
    <xf numFmtId="37" fontId="65" fillId="0" borderId="0" xfId="330" applyNumberFormat="1" applyFont="1" applyFill="1" applyBorder="1" applyAlignment="1">
      <alignment horizontal="center" wrapText="1"/>
    </xf>
    <xf numFmtId="5" fontId="65" fillId="0" borderId="0" xfId="428" applyNumberFormat="1" applyFont="1" applyFill="1" applyBorder="1" applyAlignment="1">
      <alignment horizontal="center" wrapText="1"/>
    </xf>
    <xf numFmtId="0" fontId="59" fillId="30" borderId="22" xfId="0" applyFont="1" applyFill="1" applyBorder="1" applyAlignment="1">
      <alignment wrapText="1"/>
    </xf>
    <xf numFmtId="0" fontId="59" fillId="30" borderId="19" xfId="0" applyFont="1" applyFill="1" applyBorder="1" applyAlignment="1">
      <alignment horizontal="center" wrapText="1"/>
    </xf>
    <xf numFmtId="37" fontId="59" fillId="30" borderId="19" xfId="0" applyNumberFormat="1" applyFont="1" applyFill="1" applyBorder="1" applyAlignment="1">
      <alignment horizontal="center" wrapText="1"/>
    </xf>
    <xf numFmtId="5" fontId="59" fillId="30" borderId="19" xfId="0" applyNumberFormat="1" applyFont="1" applyFill="1" applyBorder="1" applyAlignment="1">
      <alignment horizontal="center" wrapText="1"/>
    </xf>
    <xf numFmtId="0" fontId="59" fillId="0" borderId="30" xfId="0" applyFont="1" applyFill="1" applyBorder="1" applyAlignment="1">
      <alignment horizontal="left" wrapText="1"/>
    </xf>
    <xf numFmtId="0" fontId="65" fillId="0" borderId="25" xfId="0" applyFont="1" applyFill="1" applyBorder="1" applyAlignment="1">
      <alignment horizontal="left" wrapText="1"/>
    </xf>
    <xf numFmtId="1" fontId="65" fillId="0" borderId="0" xfId="0" applyNumberFormat="1" applyFont="1" applyFill="1" applyBorder="1" applyAlignment="1">
      <alignment horizontal="center" wrapText="1"/>
    </xf>
    <xf numFmtId="0" fontId="59" fillId="0" borderId="31" xfId="0" applyFont="1" applyFill="1" applyBorder="1" applyAlignment="1">
      <alignment horizontal="left" wrapText="1"/>
    </xf>
    <xf numFmtId="165" fontId="65" fillId="0" borderId="0" xfId="878" applyNumberFormat="1" applyFont="1" applyFill="1" applyBorder="1" applyAlignment="1">
      <alignment horizontal="center" wrapText="1"/>
    </xf>
    <xf numFmtId="165" fontId="65" fillId="0" borderId="10" xfId="878" applyNumberFormat="1" applyFont="1" applyFill="1" applyBorder="1" applyAlignment="1">
      <alignment horizontal="center" wrapText="1"/>
    </xf>
    <xf numFmtId="165" fontId="65" fillId="0" borderId="0" xfId="0" applyNumberFormat="1" applyFont="1" applyFill="1" applyAlignment="1">
      <alignment wrapText="1"/>
    </xf>
    <xf numFmtId="0" fontId="59" fillId="0" borderId="32" xfId="0" applyFont="1" applyFill="1" applyBorder="1" applyAlignment="1">
      <alignment horizontal="left" wrapText="1"/>
    </xf>
    <xf numFmtId="0" fontId="59" fillId="0" borderId="24" xfId="0" applyFont="1" applyFill="1" applyBorder="1" applyAlignment="1">
      <alignment horizontal="center" wrapText="1"/>
    </xf>
    <xf numFmtId="0" fontId="59" fillId="0" borderId="21" xfId="0" applyFont="1" applyFill="1" applyBorder="1" applyAlignment="1">
      <alignment horizontal="center" wrapText="1"/>
    </xf>
    <xf numFmtId="0" fontId="66" fillId="0" borderId="0" xfId="0" applyFont="1" applyFill="1" applyAlignment="1"/>
    <xf numFmtId="0" fontId="67" fillId="0" borderId="0" xfId="0" applyFont="1" applyFill="1"/>
    <xf numFmtId="0" fontId="58" fillId="0" borderId="0" xfId="0" applyFont="1" applyFill="1"/>
    <xf numFmtId="165" fontId="65" fillId="0" borderId="0" xfId="0" applyNumberFormat="1" applyFont="1" applyFill="1"/>
    <xf numFmtId="165" fontId="59" fillId="0" borderId="11" xfId="0" applyNumberFormat="1" applyFont="1" applyFill="1" applyBorder="1" applyAlignment="1">
      <alignment horizontal="center" wrapText="1"/>
    </xf>
    <xf numFmtId="165" fontId="59" fillId="30" borderId="19" xfId="0" applyNumberFormat="1" applyFont="1" applyFill="1" applyBorder="1" applyAlignment="1">
      <alignment horizontal="center" wrapText="1"/>
    </xf>
    <xf numFmtId="165" fontId="59" fillId="0" borderId="21" xfId="0" applyNumberFormat="1" applyFont="1" applyFill="1" applyBorder="1" applyAlignment="1">
      <alignment horizontal="center" wrapText="1"/>
    </xf>
    <xf numFmtId="165" fontId="59" fillId="0" borderId="33" xfId="0" applyNumberFormat="1" applyFont="1" applyFill="1" applyBorder="1" applyAlignment="1">
      <alignment horizontal="center" wrapText="1"/>
    </xf>
    <xf numFmtId="165" fontId="59" fillId="30" borderId="20" xfId="0" applyNumberFormat="1" applyFont="1" applyFill="1" applyBorder="1" applyAlignment="1">
      <alignment horizontal="center" wrapText="1"/>
    </xf>
    <xf numFmtId="165" fontId="59" fillId="0" borderId="34" xfId="0" applyNumberFormat="1" applyFont="1" applyFill="1" applyBorder="1" applyAlignment="1">
      <alignment horizontal="center" wrapText="1"/>
    </xf>
    <xf numFmtId="0" fontId="67" fillId="0" borderId="0" xfId="0" applyFont="1" applyFill="1" applyAlignment="1">
      <alignment wrapText="1"/>
    </xf>
    <xf numFmtId="0" fontId="68" fillId="0" borderId="0" xfId="0" applyFont="1" applyBorder="1"/>
    <xf numFmtId="9" fontId="68" fillId="0" borderId="0" xfId="0" applyNumberFormat="1" applyFont="1" applyBorder="1" applyAlignment="1">
      <alignment horizontal="center"/>
    </xf>
    <xf numFmtId="0" fontId="68" fillId="0" borderId="0" xfId="0" applyFont="1" applyFill="1" applyBorder="1" applyAlignment="1">
      <alignment horizontal="center" vertical="center"/>
    </xf>
    <xf numFmtId="0" fontId="68" fillId="0" borderId="0" xfId="0" applyFont="1" applyBorder="1" applyAlignment="1">
      <alignment horizontal="center"/>
    </xf>
    <xf numFmtId="0" fontId="69" fillId="0" borderId="0" xfId="0" applyFont="1" applyFill="1" applyBorder="1" applyAlignment="1">
      <alignment vertical="center"/>
    </xf>
    <xf numFmtId="6" fontId="57" fillId="0" borderId="0" xfId="0" applyNumberFormat="1" applyFont="1" applyBorder="1" applyAlignment="1">
      <alignment horizontal="center" wrapText="1"/>
    </xf>
    <xf numFmtId="9" fontId="0" fillId="0" borderId="0" xfId="0" applyNumberFormat="1" applyBorder="1" applyAlignment="1">
      <alignment horizontal="center"/>
    </xf>
    <xf numFmtId="0" fontId="0" fillId="0" borderId="0" xfId="0" applyBorder="1" applyAlignment="1">
      <alignment wrapText="1"/>
    </xf>
    <xf numFmtId="3" fontId="0" fillId="0" borderId="0" xfId="0" applyNumberFormat="1" applyBorder="1" applyAlignment="1">
      <alignment wrapText="1"/>
    </xf>
    <xf numFmtId="9" fontId="0" fillId="0" borderId="0" xfId="0" applyNumberFormat="1" applyBorder="1" applyAlignment="1">
      <alignment horizontal="center" wrapText="1"/>
    </xf>
    <xf numFmtId="3" fontId="0" fillId="0" borderId="0" xfId="0" applyNumberFormat="1" applyBorder="1" applyAlignment="1">
      <alignment horizontal="center" wrapText="1"/>
    </xf>
    <xf numFmtId="0" fontId="57" fillId="0" borderId="0" xfId="0" applyFont="1" applyBorder="1" applyAlignment="1">
      <alignment wrapText="1"/>
    </xf>
    <xf numFmtId="0" fontId="57" fillId="0" borderId="0" xfId="0" applyFont="1" applyBorder="1" applyAlignment="1">
      <alignment horizontal="center" wrapText="1"/>
    </xf>
    <xf numFmtId="3" fontId="57" fillId="0" borderId="0" xfId="0" applyNumberFormat="1" applyFont="1" applyBorder="1" applyAlignment="1">
      <alignment horizontal="center" wrapText="1"/>
    </xf>
    <xf numFmtId="3" fontId="57" fillId="0" borderId="0" xfId="330" applyNumberFormat="1" applyFont="1" applyBorder="1" applyAlignment="1">
      <alignment horizontal="center" wrapText="1"/>
    </xf>
    <xf numFmtId="0" fontId="0" fillId="0" borderId="0" xfId="0" applyBorder="1" applyAlignment="1">
      <alignment horizontal="center"/>
    </xf>
    <xf numFmtId="3" fontId="0" fillId="0" borderId="0" xfId="0" applyNumberFormat="1" applyBorder="1"/>
    <xf numFmtId="0" fontId="0" fillId="0" borderId="0" xfId="0" applyFill="1" applyBorder="1" applyAlignment="1">
      <alignment vertical="center" wrapText="1"/>
    </xf>
    <xf numFmtId="0" fontId="0" fillId="0" borderId="0" xfId="0" applyFill="1" applyBorder="1" applyAlignment="1">
      <alignment horizontal="center" vertical="center" wrapText="1"/>
    </xf>
    <xf numFmtId="3" fontId="0" fillId="0" borderId="0" xfId="0" applyNumberFormat="1" applyFill="1" applyBorder="1" applyAlignment="1">
      <alignment horizontal="center" vertical="center" wrapText="1"/>
    </xf>
    <xf numFmtId="43" fontId="54" fillId="0" borderId="0" xfId="330" applyFont="1" applyFill="1" applyBorder="1" applyAlignment="1">
      <alignment horizontal="center" vertical="center" wrapText="1"/>
    </xf>
    <xf numFmtId="9" fontId="0" fillId="0" borderId="0" xfId="0" applyNumberFormat="1" applyFill="1" applyBorder="1" applyAlignment="1">
      <alignment horizontal="center" vertical="center" wrapText="1"/>
    </xf>
    <xf numFmtId="3" fontId="0" fillId="0" borderId="0" xfId="0" applyNumberFormat="1" applyFill="1" applyBorder="1" applyAlignment="1">
      <alignment vertical="center" wrapText="1"/>
    </xf>
    <xf numFmtId="0" fontId="0" fillId="0" borderId="0" xfId="0" applyBorder="1" applyAlignment="1">
      <alignment horizontal="center" vertical="center" wrapText="1"/>
    </xf>
    <xf numFmtId="3" fontId="0" fillId="0" borderId="0" xfId="0" applyNumberFormat="1" applyBorder="1" applyAlignment="1">
      <alignment horizontal="center" vertical="center" wrapText="1"/>
    </xf>
    <xf numFmtId="43" fontId="54" fillId="0" borderId="0" xfId="330" applyFont="1" applyBorder="1" applyAlignment="1">
      <alignment horizontal="center" vertical="center" wrapText="1"/>
    </xf>
    <xf numFmtId="3" fontId="0" fillId="0" borderId="0" xfId="0" applyNumberFormat="1" applyBorder="1" applyAlignment="1">
      <alignment vertical="center" wrapText="1"/>
    </xf>
    <xf numFmtId="9" fontId="0" fillId="0" borderId="0" xfId="0" applyNumberFormat="1" applyBorder="1" applyAlignment="1">
      <alignment horizontal="center" vertical="center" wrapText="1"/>
    </xf>
    <xf numFmtId="0" fontId="0" fillId="0" borderId="0" xfId="0" applyBorder="1" applyAlignment="1">
      <alignment vertical="center" wrapText="1"/>
    </xf>
    <xf numFmtId="0" fontId="70" fillId="0" borderId="0" xfId="0" applyFont="1" applyFill="1" applyBorder="1" applyAlignment="1">
      <alignment vertical="center" wrapText="1"/>
    </xf>
    <xf numFmtId="0" fontId="57" fillId="32" borderId="0" xfId="0" applyFont="1" applyFill="1" applyBorder="1" applyAlignment="1">
      <alignment vertical="center" wrapText="1"/>
    </xf>
    <xf numFmtId="0" fontId="57" fillId="32" borderId="0" xfId="0" applyFont="1" applyFill="1" applyBorder="1" applyAlignment="1">
      <alignment horizontal="center" vertical="center" wrapText="1"/>
    </xf>
    <xf numFmtId="3" fontId="57" fillId="32" borderId="0" xfId="0" applyNumberFormat="1" applyFont="1" applyFill="1" applyBorder="1" applyAlignment="1">
      <alignment horizontal="center" vertical="center" wrapText="1"/>
    </xf>
    <xf numFmtId="5" fontId="57" fillId="32" borderId="0" xfId="0" applyNumberFormat="1" applyFont="1" applyFill="1" applyBorder="1" applyAlignment="1">
      <alignment horizontal="center" vertical="center" wrapText="1"/>
    </xf>
    <xf numFmtId="0" fontId="57" fillId="0" borderId="0" xfId="0" applyFont="1" applyBorder="1" applyAlignment="1">
      <alignment vertical="center" wrapText="1"/>
    </xf>
    <xf numFmtId="9" fontId="69" fillId="0" borderId="0" xfId="0" applyNumberFormat="1" applyFont="1" applyFill="1" applyBorder="1" applyAlignment="1">
      <alignment vertical="center"/>
    </xf>
    <xf numFmtId="9" fontId="68" fillId="0" borderId="0" xfId="0" applyNumberFormat="1" applyFont="1" applyFill="1" applyBorder="1" applyAlignment="1">
      <alignment horizontal="center" vertical="center"/>
    </xf>
    <xf numFmtId="9" fontId="57" fillId="32" borderId="0" xfId="0" applyNumberFormat="1" applyFont="1" applyFill="1" applyBorder="1" applyAlignment="1">
      <alignment horizontal="center" vertical="center" wrapText="1"/>
    </xf>
    <xf numFmtId="9" fontId="57" fillId="0" borderId="0" xfId="0" applyNumberFormat="1" applyFont="1" applyBorder="1" applyAlignment="1">
      <alignment horizontal="center" wrapText="1"/>
    </xf>
    <xf numFmtId="172" fontId="68" fillId="0" borderId="0" xfId="0" applyNumberFormat="1" applyFont="1" applyFill="1" applyBorder="1" applyAlignment="1">
      <alignment horizontal="center" vertical="center"/>
    </xf>
    <xf numFmtId="172" fontId="0" fillId="0" borderId="0" xfId="0" applyNumberFormat="1" applyFill="1" applyBorder="1" applyAlignment="1">
      <alignment horizontal="center" vertical="center" wrapText="1"/>
    </xf>
    <xf numFmtId="172" fontId="0" fillId="0" borderId="0" xfId="0" applyNumberFormat="1" applyBorder="1" applyAlignment="1">
      <alignment horizontal="center" vertical="center" wrapText="1"/>
    </xf>
    <xf numFmtId="172" fontId="57" fillId="32" borderId="0" xfId="0" applyNumberFormat="1" applyFont="1" applyFill="1" applyBorder="1" applyAlignment="1">
      <alignment horizontal="center" vertical="center" wrapText="1"/>
    </xf>
    <xf numFmtId="172" fontId="57" fillId="0" borderId="0" xfId="0" applyNumberFormat="1" applyFont="1" applyBorder="1" applyAlignment="1">
      <alignment horizontal="center" wrapText="1"/>
    </xf>
    <xf numFmtId="172" fontId="0" fillId="0" borderId="0" xfId="0" applyNumberFormat="1" applyBorder="1" applyAlignment="1">
      <alignment horizontal="center" wrapText="1"/>
    </xf>
    <xf numFmtId="172" fontId="0" fillId="0" borderId="0" xfId="0" applyNumberFormat="1" applyBorder="1" applyAlignment="1">
      <alignment horizontal="center"/>
    </xf>
    <xf numFmtId="6" fontId="0" fillId="0" borderId="0" xfId="0" applyNumberFormat="1" applyFill="1" applyBorder="1" applyAlignment="1">
      <alignment horizontal="right" vertical="center" wrapText="1"/>
    </xf>
    <xf numFmtId="5" fontId="74" fillId="0" borderId="0" xfId="428" applyNumberFormat="1" applyFont="1" applyFill="1" applyBorder="1" applyAlignment="1">
      <alignment horizontal="right" vertical="center" wrapText="1"/>
    </xf>
    <xf numFmtId="5" fontId="54" fillId="0" borderId="0" xfId="428" applyNumberFormat="1" applyFont="1" applyFill="1" applyBorder="1" applyAlignment="1">
      <alignment horizontal="right" vertical="center" wrapText="1"/>
    </xf>
    <xf numFmtId="5" fontId="0" fillId="0" borderId="0" xfId="0" applyNumberFormat="1" applyFill="1" applyBorder="1" applyAlignment="1">
      <alignment horizontal="right" vertical="center" wrapText="1"/>
    </xf>
    <xf numFmtId="6" fontId="0" fillId="0" borderId="0" xfId="0" applyNumberFormat="1" applyBorder="1" applyAlignment="1">
      <alignment horizontal="right" vertical="center" wrapText="1"/>
    </xf>
    <xf numFmtId="5" fontId="0" fillId="0" borderId="0" xfId="0" applyNumberFormat="1" applyBorder="1" applyAlignment="1">
      <alignment horizontal="right" vertical="center" wrapText="1"/>
    </xf>
    <xf numFmtId="5" fontId="54" fillId="0" borderId="0" xfId="428" applyNumberFormat="1" applyFont="1" applyBorder="1" applyAlignment="1">
      <alignment horizontal="right" vertical="center" wrapText="1"/>
    </xf>
    <xf numFmtId="6" fontId="57" fillId="0" borderId="0" xfId="0" applyNumberFormat="1" applyFont="1" applyBorder="1" applyAlignment="1">
      <alignment horizontal="right" wrapText="1"/>
    </xf>
    <xf numFmtId="0" fontId="0" fillId="0" borderId="0" xfId="0" applyBorder="1" applyAlignment="1">
      <alignment horizontal="right" wrapText="1"/>
    </xf>
    <xf numFmtId="0" fontId="0" fillId="0" borderId="0" xfId="0" applyBorder="1" applyAlignment="1">
      <alignment horizontal="right"/>
    </xf>
    <xf numFmtId="172" fontId="69" fillId="0" borderId="0" xfId="0" applyNumberFormat="1" applyFont="1" applyFill="1" applyBorder="1" applyAlignment="1">
      <alignment horizontal="center" vertical="center"/>
    </xf>
    <xf numFmtId="5" fontId="54" fillId="0" borderId="0" xfId="428" applyNumberFormat="1" applyFont="1" applyBorder="1" applyAlignment="1">
      <alignment horizontal="right" vertical="center" wrapText="1"/>
    </xf>
    <xf numFmtId="5" fontId="57" fillId="32" borderId="0" xfId="428" applyNumberFormat="1" applyFont="1" applyFill="1" applyBorder="1" applyAlignment="1">
      <alignment horizontal="right" vertical="center" wrapText="1"/>
    </xf>
    <xf numFmtId="5" fontId="57" fillId="32" borderId="0" xfId="0" applyNumberFormat="1" applyFont="1" applyFill="1" applyBorder="1" applyAlignment="1">
      <alignment horizontal="right" vertical="center" wrapText="1"/>
    </xf>
    <xf numFmtId="0" fontId="55" fillId="29" borderId="39" xfId="0" applyFont="1" applyFill="1" applyBorder="1" applyAlignment="1">
      <alignment vertical="center"/>
    </xf>
    <xf numFmtId="0" fontId="55" fillId="29" borderId="40" xfId="0" applyFont="1" applyFill="1" applyBorder="1" applyAlignment="1">
      <alignment vertical="center"/>
    </xf>
    <xf numFmtId="0" fontId="0" fillId="0" borderId="0" xfId="0" applyBorder="1" applyAlignment="1">
      <alignment vertical="center"/>
    </xf>
    <xf numFmtId="0" fontId="55" fillId="29" borderId="42" xfId="0" applyFont="1" applyFill="1" applyBorder="1" applyAlignment="1">
      <alignment vertical="center"/>
    </xf>
    <xf numFmtId="0" fontId="63" fillId="29" borderId="45" xfId="0" applyFont="1" applyFill="1" applyBorder="1" applyAlignment="1">
      <alignment horizontal="left" indent="1"/>
    </xf>
    <xf numFmtId="0" fontId="55" fillId="29" borderId="46" xfId="0" applyFont="1" applyFill="1" applyBorder="1"/>
    <xf numFmtId="0" fontId="55" fillId="29" borderId="47" xfId="0" applyFont="1" applyFill="1" applyBorder="1"/>
    <xf numFmtId="0" fontId="73" fillId="0" borderId="0" xfId="0" applyFont="1" applyBorder="1" applyAlignment="1">
      <alignment vertical="center" wrapText="1"/>
    </xf>
    <xf numFmtId="0" fontId="73" fillId="0" borderId="0" xfId="0" applyFont="1" applyBorder="1" applyAlignment="1">
      <alignment horizontal="center" vertical="center" wrapText="1"/>
    </xf>
    <xf numFmtId="9" fontId="73" fillId="0" borderId="0" xfId="0" applyNumberFormat="1" applyFont="1" applyBorder="1" applyAlignment="1">
      <alignment horizontal="center" vertical="center" wrapText="1"/>
    </xf>
    <xf numFmtId="5" fontId="65" fillId="0" borderId="0" xfId="428" applyNumberFormat="1" applyFont="1" applyFill="1" applyBorder="1" applyAlignment="1">
      <alignment horizontal="right" wrapText="1"/>
    </xf>
    <xf numFmtId="5" fontId="59" fillId="30" borderId="19" xfId="0" applyNumberFormat="1" applyFont="1" applyFill="1" applyBorder="1" applyAlignment="1">
      <alignment horizontal="right" wrapText="1"/>
    </xf>
    <xf numFmtId="5" fontId="65" fillId="0" borderId="10" xfId="428" applyNumberFormat="1" applyFont="1" applyFill="1" applyBorder="1" applyAlignment="1">
      <alignment horizontal="right" wrapText="1"/>
    </xf>
    <xf numFmtId="5" fontId="59" fillId="30" borderId="20" xfId="0" applyNumberFormat="1" applyFont="1" applyFill="1" applyBorder="1" applyAlignment="1">
      <alignment horizontal="center" wrapText="1"/>
    </xf>
    <xf numFmtId="0" fontId="78" fillId="29" borderId="42" xfId="0" applyFont="1" applyFill="1" applyBorder="1" applyAlignment="1">
      <alignment horizontal="right" vertical="center"/>
    </xf>
    <xf numFmtId="0" fontId="77" fillId="29" borderId="38" xfId="0" applyFont="1" applyFill="1" applyBorder="1" applyAlignment="1">
      <alignment horizontal="left" vertical="center" indent="1"/>
    </xf>
    <xf numFmtId="0" fontId="76" fillId="29" borderId="41" xfId="0" applyFont="1" applyFill="1" applyBorder="1" applyAlignment="1">
      <alignment horizontal="left" vertical="center" indent="1"/>
    </xf>
    <xf numFmtId="14" fontId="78" fillId="29" borderId="43" xfId="0" applyNumberFormat="1" applyFont="1" applyFill="1" applyBorder="1" applyAlignment="1">
      <alignment horizontal="center" vertical="center"/>
    </xf>
    <xf numFmtId="0" fontId="59" fillId="0" borderId="30" xfId="0" applyFont="1" applyFill="1" applyBorder="1" applyAlignment="1">
      <alignment horizontal="center" wrapText="1"/>
    </xf>
    <xf numFmtId="0" fontId="70" fillId="0" borderId="0" xfId="0" applyFont="1" applyFill="1" applyBorder="1" applyAlignment="1">
      <alignment vertical="center"/>
    </xf>
    <xf numFmtId="0" fontId="56" fillId="39" borderId="0" xfId="0" applyFont="1" applyFill="1" applyBorder="1" applyAlignment="1">
      <alignment wrapText="1"/>
    </xf>
    <xf numFmtId="0" fontId="56" fillId="39" borderId="0" xfId="0" applyFont="1" applyFill="1" applyBorder="1" applyAlignment="1">
      <alignment horizontal="center" wrapText="1"/>
    </xf>
    <xf numFmtId="9" fontId="56" fillId="39" borderId="0" xfId="0" applyNumberFormat="1" applyFont="1" applyFill="1" applyBorder="1" applyAlignment="1">
      <alignment horizontal="center" wrapText="1"/>
    </xf>
    <xf numFmtId="172" fontId="56" fillId="39" borderId="0" xfId="0" applyNumberFormat="1" applyFont="1" applyFill="1" applyBorder="1" applyAlignment="1">
      <alignment horizontal="center" wrapText="1"/>
    </xf>
    <xf numFmtId="0" fontId="0" fillId="0" borderId="51" xfId="0" applyFill="1" applyBorder="1" applyAlignment="1">
      <alignment vertical="center" wrapText="1"/>
    </xf>
    <xf numFmtId="0" fontId="0" fillId="0" borderId="51" xfId="0" applyFill="1" applyBorder="1" applyAlignment="1">
      <alignment horizontal="center" vertical="center" wrapText="1"/>
    </xf>
    <xf numFmtId="3" fontId="0" fillId="0" borderId="51" xfId="0" applyNumberFormat="1" applyFill="1" applyBorder="1" applyAlignment="1">
      <alignment horizontal="center" vertical="center" wrapText="1"/>
    </xf>
    <xf numFmtId="43" fontId="54" fillId="0" borderId="51" xfId="330" applyFont="1" applyFill="1" applyBorder="1" applyAlignment="1">
      <alignment horizontal="center" vertical="center" wrapText="1"/>
    </xf>
    <xf numFmtId="9" fontId="0" fillId="0" borderId="51" xfId="0" applyNumberFormat="1" applyFill="1" applyBorder="1" applyAlignment="1">
      <alignment horizontal="center" vertical="center" wrapText="1"/>
    </xf>
    <xf numFmtId="17" fontId="0" fillId="0" borderId="51" xfId="0" applyNumberFormat="1" applyFill="1" applyBorder="1" applyAlignment="1">
      <alignment horizontal="center" vertical="center" wrapText="1"/>
    </xf>
    <xf numFmtId="5" fontId="74" fillId="0" borderId="51" xfId="428" applyNumberFormat="1" applyFont="1" applyFill="1" applyBorder="1" applyAlignment="1">
      <alignment horizontal="right" vertical="center" wrapText="1"/>
    </xf>
    <xf numFmtId="172" fontId="0" fillId="0" borderId="51" xfId="0" applyNumberFormat="1" applyFill="1" applyBorder="1" applyAlignment="1">
      <alignment horizontal="center" vertical="center" wrapText="1"/>
    </xf>
    <xf numFmtId="5" fontId="54" fillId="0" borderId="51" xfId="428" applyNumberFormat="1" applyFont="1" applyFill="1" applyBorder="1" applyAlignment="1">
      <alignment horizontal="right" vertical="center" wrapText="1"/>
    </xf>
    <xf numFmtId="3" fontId="0" fillId="0" borderId="51" xfId="0" applyNumberFormat="1" applyFill="1" applyBorder="1" applyAlignment="1">
      <alignment vertical="center" wrapText="1"/>
    </xf>
    <xf numFmtId="5" fontId="60" fillId="0" borderId="51" xfId="428" applyNumberFormat="1" applyFont="1" applyFill="1" applyBorder="1" applyAlignment="1">
      <alignment horizontal="right" vertical="center" wrapText="1"/>
    </xf>
    <xf numFmtId="5" fontId="0" fillId="0" borderId="51" xfId="0" applyNumberFormat="1" applyFill="1" applyBorder="1" applyAlignment="1">
      <alignment horizontal="right" vertical="center" wrapText="1"/>
    </xf>
    <xf numFmtId="0" fontId="0" fillId="0" borderId="51" xfId="0" quotePrefix="1" applyFill="1" applyBorder="1" applyAlignment="1">
      <alignment horizontal="center" vertical="center" wrapText="1"/>
    </xf>
    <xf numFmtId="0" fontId="0" fillId="0" borderId="51" xfId="0" applyBorder="1" applyAlignment="1">
      <alignment horizontal="center" vertical="center" wrapText="1"/>
    </xf>
    <xf numFmtId="3" fontId="0" fillId="0" borderId="51" xfId="0" applyNumberFormat="1" applyBorder="1" applyAlignment="1">
      <alignment horizontal="center" vertical="center" wrapText="1"/>
    </xf>
    <xf numFmtId="43" fontId="54" fillId="0" borderId="51" xfId="330" applyFont="1" applyBorder="1" applyAlignment="1">
      <alignment horizontal="center" vertical="center" wrapText="1"/>
    </xf>
    <xf numFmtId="9" fontId="0" fillId="0" borderId="51" xfId="0" applyNumberFormat="1" applyBorder="1" applyAlignment="1">
      <alignment horizontal="center" vertical="center" wrapText="1"/>
    </xf>
    <xf numFmtId="5" fontId="54" fillId="0" borderId="51" xfId="428" applyNumberFormat="1" applyFont="1" applyBorder="1" applyAlignment="1">
      <alignment horizontal="right" vertical="center" wrapText="1"/>
    </xf>
    <xf numFmtId="172" fontId="0" fillId="0" borderId="51" xfId="0" applyNumberFormat="1" applyBorder="1" applyAlignment="1">
      <alignment horizontal="center" vertical="center" wrapText="1"/>
    </xf>
    <xf numFmtId="5" fontId="0" fillId="0" borderId="51" xfId="0" applyNumberFormat="1" applyBorder="1" applyAlignment="1">
      <alignment horizontal="right" vertical="center" wrapText="1"/>
    </xf>
    <xf numFmtId="3" fontId="0" fillId="0" borderId="51" xfId="0" applyNumberFormat="1" applyBorder="1" applyAlignment="1">
      <alignment vertical="center" wrapText="1"/>
    </xf>
    <xf numFmtId="0" fontId="0" fillId="0" borderId="51" xfId="0" applyBorder="1" applyAlignment="1">
      <alignment vertical="center" wrapText="1"/>
    </xf>
    <xf numFmtId="0" fontId="60" fillId="0" borderId="51" xfId="0" applyFont="1" applyFill="1" applyBorder="1" applyAlignment="1">
      <alignment vertical="center" wrapText="1"/>
    </xf>
    <xf numFmtId="5" fontId="74" fillId="0" borderId="51" xfId="0" applyNumberFormat="1" applyFont="1" applyFill="1" applyBorder="1" applyAlignment="1">
      <alignment horizontal="right" vertical="center" wrapText="1"/>
    </xf>
    <xf numFmtId="6" fontId="0" fillId="0" borderId="51" xfId="0" applyNumberFormat="1" applyFill="1" applyBorder="1" applyAlignment="1">
      <alignment horizontal="right" vertical="center" wrapText="1"/>
    </xf>
    <xf numFmtId="0" fontId="56" fillId="39" borderId="54" xfId="0" applyFont="1" applyFill="1" applyBorder="1" applyAlignment="1">
      <alignment horizontal="center" wrapText="1"/>
    </xf>
    <xf numFmtId="0" fontId="56" fillId="39" borderId="55" xfId="0" applyFont="1" applyFill="1" applyBorder="1" applyAlignment="1">
      <alignment horizontal="center" wrapText="1"/>
    </xf>
    <xf numFmtId="9" fontId="56" fillId="39" borderId="55" xfId="0" applyNumberFormat="1" applyFont="1" applyFill="1" applyBorder="1" applyAlignment="1">
      <alignment horizontal="center" wrapText="1"/>
    </xf>
    <xf numFmtId="5" fontId="80" fillId="0" borderId="51" xfId="428" applyNumberFormat="1" applyFont="1" applyFill="1" applyBorder="1" applyAlignment="1">
      <alignment horizontal="right" vertical="center" wrapText="1"/>
    </xf>
    <xf numFmtId="0" fontId="65" fillId="0" borderId="25" xfId="0" applyNumberFormat="1" applyFont="1" applyFill="1" applyBorder="1" applyAlignment="1">
      <alignment horizontal="center" wrapText="1"/>
    </xf>
    <xf numFmtId="3" fontId="74" fillId="0" borderId="51" xfId="0" applyNumberFormat="1" applyFont="1" applyFill="1" applyBorder="1" applyAlignment="1">
      <alignment vertical="center" wrapText="1"/>
    </xf>
    <xf numFmtId="9" fontId="0" fillId="0" borderId="0" xfId="0" applyNumberFormat="1" applyFill="1" applyBorder="1" applyAlignment="1">
      <alignment vertical="center" wrapText="1"/>
    </xf>
    <xf numFmtId="3" fontId="68" fillId="0" borderId="0" xfId="0" applyNumberFormat="1" applyFont="1" applyBorder="1"/>
    <xf numFmtId="0" fontId="82" fillId="39" borderId="0" xfId="0" applyFont="1" applyFill="1" applyBorder="1" applyAlignment="1">
      <alignment horizontal="left" wrapText="1"/>
    </xf>
    <xf numFmtId="0" fontId="82" fillId="39" borderId="0" xfId="0" applyFont="1" applyFill="1" applyBorder="1" applyAlignment="1">
      <alignment horizontal="center" wrapText="1"/>
    </xf>
    <xf numFmtId="0" fontId="83" fillId="0" borderId="0" xfId="0" applyFont="1"/>
    <xf numFmtId="0" fontId="83" fillId="0" borderId="0" xfId="0" applyFont="1" applyAlignment="1">
      <alignment vertical="center" wrapText="1"/>
    </xf>
    <xf numFmtId="5" fontId="83" fillId="0" borderId="0" xfId="0" applyNumberFormat="1" applyFont="1" applyAlignment="1">
      <alignment vertical="center" wrapText="1"/>
    </xf>
    <xf numFmtId="3" fontId="83" fillId="0" borderId="0" xfId="0" applyNumberFormat="1" applyFont="1" applyAlignment="1">
      <alignment horizontal="center" vertical="center" wrapText="1"/>
    </xf>
    <xf numFmtId="0" fontId="83" fillId="0" borderId="0" xfId="0" applyFont="1" applyAlignment="1">
      <alignment horizontal="center" vertical="center" wrapText="1"/>
    </xf>
    <xf numFmtId="0" fontId="83" fillId="0" borderId="0" xfId="0" applyFont="1" applyAlignment="1">
      <alignment horizontal="center"/>
    </xf>
    <xf numFmtId="9" fontId="83" fillId="0" borderId="0" xfId="0" applyNumberFormat="1" applyFont="1" applyAlignment="1">
      <alignment horizontal="center" vertical="center" wrapText="1"/>
    </xf>
    <xf numFmtId="17" fontId="83" fillId="0" borderId="0" xfId="0" applyNumberFormat="1" applyFont="1" applyAlignment="1">
      <alignment horizontal="center" vertical="center" wrapText="1"/>
    </xf>
    <xf numFmtId="0" fontId="83" fillId="0" borderId="51" xfId="0" applyFont="1" applyBorder="1" applyAlignment="1">
      <alignment vertical="center" wrapText="1"/>
    </xf>
    <xf numFmtId="0" fontId="83" fillId="0" borderId="51" xfId="0" applyFont="1" applyBorder="1" applyAlignment="1">
      <alignment horizontal="center" vertical="center" wrapText="1"/>
    </xf>
    <xf numFmtId="3" fontId="83" fillId="0" borderId="51" xfId="0" applyNumberFormat="1" applyFont="1" applyBorder="1" applyAlignment="1">
      <alignment horizontal="center" vertical="center" wrapText="1"/>
    </xf>
    <xf numFmtId="5" fontId="83" fillId="0" borderId="51" xfId="0" applyNumberFormat="1" applyFont="1" applyBorder="1" applyAlignment="1">
      <alignment vertical="center" wrapText="1"/>
    </xf>
    <xf numFmtId="9" fontId="83" fillId="0" borderId="51" xfId="0" applyNumberFormat="1" applyFont="1" applyBorder="1" applyAlignment="1">
      <alignment horizontal="center" vertical="center" wrapText="1"/>
    </xf>
    <xf numFmtId="17" fontId="83" fillId="0" borderId="51" xfId="0" applyNumberFormat="1" applyFont="1" applyBorder="1" applyAlignment="1">
      <alignment horizontal="center" vertical="center" wrapText="1"/>
    </xf>
    <xf numFmtId="5" fontId="83" fillId="0" borderId="51" xfId="0" applyNumberFormat="1" applyFont="1" applyBorder="1" applyAlignment="1">
      <alignment horizontal="center" vertical="center" wrapText="1"/>
    </xf>
    <xf numFmtId="0" fontId="82" fillId="31" borderId="0" xfId="0" applyFont="1" applyFill="1" applyAlignment="1">
      <alignment vertical="center" wrapText="1"/>
    </xf>
    <xf numFmtId="0" fontId="82" fillId="31" borderId="0" xfId="0" applyFont="1" applyFill="1" applyAlignment="1">
      <alignment horizontal="center" vertical="center" wrapText="1"/>
    </xf>
    <xf numFmtId="3" fontId="82" fillId="31" borderId="0" xfId="0" applyNumberFormat="1" applyFont="1" applyFill="1" applyAlignment="1">
      <alignment horizontal="center" vertical="center" wrapText="1"/>
    </xf>
    <xf numFmtId="5" fontId="83" fillId="0" borderId="0" xfId="0" applyNumberFormat="1" applyFont="1" applyAlignment="1">
      <alignment horizontal="center" vertical="center" wrapText="1"/>
    </xf>
    <xf numFmtId="165" fontId="65" fillId="0" borderId="0" xfId="0" applyNumberFormat="1" applyFont="1" applyFill="1" applyBorder="1" applyAlignment="1">
      <alignment horizontal="center" wrapText="1"/>
    </xf>
    <xf numFmtId="3" fontId="60" fillId="0" borderId="0" xfId="0" applyNumberFormat="1" applyFont="1" applyFill="1" applyBorder="1" applyAlignment="1">
      <alignment horizontal="center" vertical="center" wrapText="1"/>
    </xf>
    <xf numFmtId="5" fontId="60" fillId="0" borderId="0" xfId="428" applyNumberFormat="1" applyFont="1" applyFill="1" applyBorder="1" applyAlignment="1">
      <alignment horizontal="right" vertical="center" wrapText="1"/>
    </xf>
    <xf numFmtId="172" fontId="60" fillId="0" borderId="0" xfId="0" applyNumberFormat="1" applyFont="1" applyFill="1" applyBorder="1" applyAlignment="1">
      <alignment horizontal="center" vertical="center" wrapText="1"/>
    </xf>
    <xf numFmtId="3" fontId="60" fillId="0" borderId="0" xfId="0" applyNumberFormat="1" applyFont="1" applyFill="1" applyBorder="1" applyAlignment="1">
      <alignment vertical="center" wrapText="1"/>
    </xf>
    <xf numFmtId="3" fontId="60" fillId="0" borderId="51" xfId="0" applyNumberFormat="1" applyFont="1" applyFill="1" applyBorder="1" applyAlignment="1">
      <alignment vertical="center" wrapText="1"/>
    </xf>
    <xf numFmtId="3" fontId="0" fillId="0" borderId="51" xfId="0" applyNumberFormat="1" applyFont="1" applyFill="1" applyBorder="1" applyAlignment="1">
      <alignment vertical="center" wrapText="1"/>
    </xf>
    <xf numFmtId="172" fontId="54" fillId="0" borderId="51" xfId="0" applyNumberFormat="1" applyFont="1" applyFill="1" applyBorder="1" applyAlignment="1">
      <alignment horizontal="center" vertical="center" wrapText="1"/>
    </xf>
    <xf numFmtId="0" fontId="0" fillId="0" borderId="51" xfId="0" applyFont="1" applyFill="1" applyBorder="1" applyAlignment="1">
      <alignment horizontal="center" vertical="center" wrapText="1"/>
    </xf>
    <xf numFmtId="17" fontId="0" fillId="0" borderId="51" xfId="0" applyNumberFormat="1" applyFont="1" applyFill="1" applyBorder="1" applyAlignment="1">
      <alignment horizontal="center" vertical="center" wrapText="1"/>
    </xf>
    <xf numFmtId="3" fontId="0" fillId="0" borderId="51" xfId="0" applyNumberFormat="1" applyFont="1" applyFill="1" applyBorder="1" applyAlignment="1">
      <alignment horizontal="center" vertical="center" wrapText="1"/>
    </xf>
    <xf numFmtId="9" fontId="54" fillId="0" borderId="51" xfId="0" applyNumberFormat="1" applyFont="1" applyFill="1" applyBorder="1" applyAlignment="1">
      <alignment horizontal="center" vertical="center" wrapText="1"/>
    </xf>
    <xf numFmtId="9" fontId="0" fillId="0" borderId="51" xfId="0" applyNumberFormat="1" applyFont="1" applyFill="1" applyBorder="1" applyAlignment="1">
      <alignment horizontal="center" vertical="center" wrapText="1"/>
    </xf>
    <xf numFmtId="5" fontId="0" fillId="0" borderId="51" xfId="428" applyNumberFormat="1" applyFont="1" applyFill="1" applyBorder="1" applyAlignment="1">
      <alignment horizontal="right" vertical="center" wrapText="1"/>
    </xf>
    <xf numFmtId="172" fontId="0" fillId="0" borderId="51" xfId="0" applyNumberFormat="1" applyFont="1" applyFill="1" applyBorder="1" applyAlignment="1">
      <alignment horizontal="center" vertical="center" wrapText="1"/>
    </xf>
    <xf numFmtId="5" fontId="0" fillId="0" borderId="51" xfId="0" applyNumberFormat="1" applyFont="1" applyFill="1" applyBorder="1" applyAlignment="1">
      <alignment horizontal="right" vertical="center" wrapText="1"/>
    </xf>
    <xf numFmtId="172" fontId="60" fillId="0" borderId="51" xfId="0" applyNumberFormat="1" applyFont="1" applyFill="1" applyBorder="1" applyAlignment="1">
      <alignment horizontal="center" vertical="center" wrapText="1"/>
    </xf>
    <xf numFmtId="9" fontId="60" fillId="0" borderId="51" xfId="0" applyNumberFormat="1" applyFont="1" applyFill="1" applyBorder="1" applyAlignment="1">
      <alignment horizontal="center" vertical="center" wrapText="1"/>
    </xf>
    <xf numFmtId="0" fontId="60" fillId="0" borderId="51" xfId="0" applyFont="1" applyFill="1" applyBorder="1" applyAlignment="1">
      <alignment horizontal="center" vertical="center" wrapText="1"/>
    </xf>
    <xf numFmtId="3" fontId="73" fillId="0" borderId="0" xfId="0" applyNumberFormat="1" applyFont="1" applyBorder="1" applyAlignment="1">
      <alignment horizontal="center" vertical="center" wrapText="1"/>
    </xf>
    <xf numFmtId="3" fontId="68" fillId="0" borderId="0" xfId="0" applyNumberFormat="1" applyFont="1" applyFill="1" applyBorder="1" applyAlignment="1">
      <alignment horizontal="center" vertical="center"/>
    </xf>
    <xf numFmtId="3" fontId="69" fillId="0" borderId="0" xfId="0" applyNumberFormat="1" applyFont="1" applyFill="1" applyBorder="1" applyAlignment="1">
      <alignment vertical="center"/>
    </xf>
    <xf numFmtId="3" fontId="60" fillId="0" borderId="51" xfId="0" applyNumberFormat="1" applyFont="1" applyFill="1" applyBorder="1" applyAlignment="1">
      <alignment horizontal="center" vertical="center" wrapText="1"/>
    </xf>
    <xf numFmtId="3" fontId="0" fillId="0" borderId="0" xfId="0" applyNumberFormat="1" applyBorder="1" applyAlignment="1">
      <alignment horizontal="center"/>
    </xf>
    <xf numFmtId="0" fontId="84" fillId="29" borderId="0" xfId="0" applyFont="1" applyFill="1" applyBorder="1" applyAlignment="1">
      <alignment horizontal="center"/>
    </xf>
    <xf numFmtId="0" fontId="85" fillId="29" borderId="0" xfId="0" applyFont="1" applyFill="1" applyBorder="1" applyAlignment="1">
      <alignment horizontal="center" wrapText="1"/>
    </xf>
    <xf numFmtId="0" fontId="82" fillId="29" borderId="0" xfId="0" applyFont="1" applyFill="1" applyBorder="1" applyAlignment="1">
      <alignment horizontal="center" wrapText="1"/>
    </xf>
    <xf numFmtId="3" fontId="82" fillId="29" borderId="0" xfId="0" applyNumberFormat="1" applyFont="1" applyFill="1" applyBorder="1" applyAlignment="1">
      <alignment horizontal="center" wrapText="1"/>
    </xf>
    <xf numFmtId="37" fontId="82" fillId="29" borderId="0" xfId="0" applyNumberFormat="1" applyFont="1" applyFill="1" applyBorder="1" applyAlignment="1">
      <alignment horizontal="center" wrapText="1"/>
    </xf>
    <xf numFmtId="0" fontId="82" fillId="29" borderId="0" xfId="0" applyNumberFormat="1" applyFont="1" applyFill="1" applyBorder="1" applyAlignment="1">
      <alignment horizontal="center" wrapText="1"/>
    </xf>
    <xf numFmtId="0" fontId="83" fillId="0" borderId="0" xfId="0" applyFont="1" applyAlignment="1">
      <alignment horizontal="center" wrapText="1"/>
    </xf>
    <xf numFmtId="0" fontId="86" fillId="0" borderId="0" xfId="0" applyFont="1" applyFill="1" applyBorder="1" applyAlignment="1">
      <alignment horizontal="left"/>
    </xf>
    <xf numFmtId="0" fontId="87" fillId="0" borderId="0" xfId="0" applyFont="1" applyFill="1" applyBorder="1" applyAlignment="1">
      <alignment horizontal="center" wrapText="1"/>
    </xf>
    <xf numFmtId="0" fontId="86" fillId="0" borderId="0" xfId="0" applyFont="1" applyFill="1" applyBorder="1" applyAlignment="1">
      <alignment horizontal="center" wrapText="1"/>
    </xf>
    <xf numFmtId="3" fontId="86" fillId="0" borderId="0" xfId="0" applyNumberFormat="1" applyFont="1" applyFill="1" applyBorder="1" applyAlignment="1">
      <alignment horizontal="center" wrapText="1"/>
    </xf>
    <xf numFmtId="37" fontId="86" fillId="0" borderId="0" xfId="0" applyNumberFormat="1" applyFont="1" applyFill="1" applyAlignment="1">
      <alignment horizontal="center"/>
    </xf>
    <xf numFmtId="0" fontId="86" fillId="0" borderId="0" xfId="0" applyFont="1" applyFill="1" applyAlignment="1">
      <alignment horizontal="center"/>
    </xf>
    <xf numFmtId="0" fontId="87" fillId="0" borderId="0" xfId="0" applyFont="1" applyFill="1"/>
    <xf numFmtId="0" fontId="59" fillId="30" borderId="22" xfId="0" applyFont="1" applyFill="1" applyBorder="1" applyAlignment="1">
      <alignment vertical="center"/>
    </xf>
    <xf numFmtId="0" fontId="59" fillId="30" borderId="5" xfId="0" applyFont="1" applyFill="1" applyBorder="1" applyAlignment="1">
      <alignment vertical="center" wrapText="1"/>
    </xf>
    <xf numFmtId="3" fontId="59" fillId="30" borderId="5" xfId="0" applyNumberFormat="1" applyFont="1" applyFill="1" applyBorder="1" applyAlignment="1">
      <alignment vertical="center" wrapText="1"/>
    </xf>
    <xf numFmtId="37" fontId="59" fillId="30" borderId="5" xfId="0" applyNumberFormat="1" applyFont="1" applyFill="1" applyBorder="1" applyAlignment="1">
      <alignment vertical="center" wrapText="1"/>
    </xf>
    <xf numFmtId="3" fontId="59" fillId="30" borderId="5" xfId="0" applyNumberFormat="1" applyFont="1" applyFill="1" applyBorder="1" applyAlignment="1">
      <alignment horizontal="center" vertical="center" wrapText="1"/>
    </xf>
    <xf numFmtId="0" fontId="59" fillId="30" borderId="62" xfId="0" applyFont="1" applyFill="1" applyBorder="1" applyAlignment="1">
      <alignment vertical="center" wrapText="1"/>
    </xf>
    <xf numFmtId="0" fontId="65" fillId="0" borderId="0" xfId="0" applyFont="1" applyAlignment="1">
      <alignment vertical="center" wrapText="1"/>
    </xf>
    <xf numFmtId="0" fontId="84" fillId="0" borderId="0" xfId="0" applyFont="1" applyAlignment="1">
      <alignment vertical="center"/>
    </xf>
    <xf numFmtId="0" fontId="73" fillId="0" borderId="0" xfId="0" applyFont="1" applyAlignment="1">
      <alignment vertical="center" wrapText="1"/>
    </xf>
    <xf numFmtId="3" fontId="83" fillId="0" borderId="0" xfId="0" applyNumberFormat="1" applyFont="1" applyAlignment="1">
      <alignment vertical="center" wrapText="1"/>
    </xf>
    <xf numFmtId="37" fontId="83" fillId="30" borderId="0" xfId="0" applyNumberFormat="1" applyFont="1" applyFill="1" applyBorder="1" applyAlignment="1">
      <alignment vertical="center" wrapText="1"/>
    </xf>
    <xf numFmtId="3" fontId="83" fillId="30" borderId="0" xfId="0" applyNumberFormat="1" applyFont="1" applyFill="1" applyBorder="1" applyAlignment="1">
      <alignment horizontal="center" vertical="center" wrapText="1"/>
    </xf>
    <xf numFmtId="0" fontId="84" fillId="0" borderId="0" xfId="0" applyFont="1" applyAlignment="1">
      <alignment vertical="center" wrapText="1"/>
    </xf>
    <xf numFmtId="37" fontId="83" fillId="0" borderId="51" xfId="0" applyNumberFormat="1" applyFont="1" applyBorder="1" applyAlignment="1">
      <alignment vertical="center" wrapText="1"/>
    </xf>
    <xf numFmtId="37" fontId="88" fillId="0" borderId="51" xfId="0" applyNumberFormat="1" applyFont="1" applyBorder="1" applyAlignment="1">
      <alignment vertical="center" wrapText="1"/>
    </xf>
    <xf numFmtId="37" fontId="83" fillId="30" borderId="51" xfId="0" applyNumberFormat="1" applyFont="1" applyFill="1" applyBorder="1" applyAlignment="1">
      <alignment vertical="center" wrapText="1"/>
    </xf>
    <xf numFmtId="37" fontId="83" fillId="30" borderId="51" xfId="0" applyNumberFormat="1" applyFont="1" applyFill="1" applyBorder="1" applyAlignment="1">
      <alignment horizontal="center" vertical="center" wrapText="1"/>
    </xf>
    <xf numFmtId="37" fontId="84" fillId="0" borderId="51" xfId="0" applyNumberFormat="1" applyFont="1" applyBorder="1" applyAlignment="1">
      <alignment vertical="center" wrapText="1"/>
    </xf>
    <xf numFmtId="37" fontId="84" fillId="0" borderId="0" xfId="0" applyNumberFormat="1" applyFont="1" applyAlignment="1">
      <alignment vertical="center" wrapText="1"/>
    </xf>
    <xf numFmtId="37" fontId="88" fillId="0" borderId="0" xfId="0" applyNumberFormat="1" applyFont="1" applyAlignment="1">
      <alignment vertical="center" wrapText="1"/>
    </xf>
    <xf numFmtId="37" fontId="84" fillId="30" borderId="0" xfId="0" applyNumberFormat="1" applyFont="1" applyFill="1" applyBorder="1" applyAlignment="1">
      <alignment vertical="center" wrapText="1"/>
    </xf>
    <xf numFmtId="37" fontId="84" fillId="30" borderId="0" xfId="0" applyNumberFormat="1" applyFont="1" applyFill="1" applyBorder="1" applyAlignment="1">
      <alignment horizontal="center" vertical="center" wrapText="1"/>
    </xf>
    <xf numFmtId="37" fontId="73" fillId="40" borderId="16" xfId="0" applyNumberFormat="1" applyFont="1" applyFill="1" applyBorder="1" applyAlignment="1">
      <alignment vertical="center" wrapText="1"/>
    </xf>
    <xf numFmtId="0" fontId="73" fillId="40" borderId="16" xfId="0" applyFont="1" applyFill="1" applyBorder="1" applyAlignment="1">
      <alignment vertical="center" wrapText="1"/>
    </xf>
    <xf numFmtId="37" fontId="73" fillId="40" borderId="16" xfId="0" applyNumberFormat="1" applyFont="1" applyFill="1" applyBorder="1" applyAlignment="1">
      <alignment horizontal="center" vertical="center" wrapText="1"/>
    </xf>
    <xf numFmtId="37" fontId="83" fillId="0" borderId="0" xfId="0" applyNumberFormat="1" applyFont="1" applyAlignment="1">
      <alignment vertical="center" wrapText="1"/>
    </xf>
    <xf numFmtId="37" fontId="83" fillId="0" borderId="63" xfId="0" applyNumberFormat="1" applyFont="1" applyBorder="1" applyAlignment="1">
      <alignment vertical="center" wrapText="1"/>
    </xf>
    <xf numFmtId="37" fontId="83" fillId="0" borderId="63" xfId="0" applyNumberFormat="1" applyFont="1" applyBorder="1" applyAlignment="1">
      <alignment horizontal="center" vertical="center" wrapText="1"/>
    </xf>
    <xf numFmtId="37" fontId="84" fillId="30" borderId="51" xfId="0" applyNumberFormat="1" applyFont="1" applyFill="1" applyBorder="1" applyAlignment="1">
      <alignment horizontal="center" vertical="center" wrapText="1"/>
    </xf>
    <xf numFmtId="0" fontId="84" fillId="0" borderId="64" xfId="0" applyFont="1" applyBorder="1" applyAlignment="1">
      <alignment vertical="center"/>
    </xf>
    <xf numFmtId="0" fontId="84" fillId="0" borderId="6" xfId="0" applyFont="1" applyBorder="1" applyAlignment="1">
      <alignment vertical="center" wrapText="1"/>
    </xf>
    <xf numFmtId="37" fontId="84" fillId="0" borderId="6" xfId="0" applyNumberFormat="1" applyFont="1" applyBorder="1" applyAlignment="1">
      <alignment vertical="center" wrapText="1"/>
    </xf>
    <xf numFmtId="37" fontId="88" fillId="0" borderId="6" xfId="0" applyNumberFormat="1" applyFont="1" applyBorder="1" applyAlignment="1">
      <alignment vertical="center" wrapText="1"/>
    </xf>
    <xf numFmtId="37" fontId="84" fillId="30" borderId="6" xfId="0" applyNumberFormat="1" applyFont="1" applyFill="1" applyBorder="1" applyAlignment="1">
      <alignment vertical="center" wrapText="1"/>
    </xf>
    <xf numFmtId="37" fontId="84" fillId="30" borderId="6" xfId="0" applyNumberFormat="1" applyFont="1" applyFill="1" applyBorder="1" applyAlignment="1">
      <alignment horizontal="center" vertical="center" wrapText="1"/>
    </xf>
    <xf numFmtId="37" fontId="84" fillId="0" borderId="29" xfId="0" applyNumberFormat="1" applyFont="1" applyBorder="1" applyAlignment="1">
      <alignment vertical="center" wrapText="1"/>
    </xf>
    <xf numFmtId="0" fontId="73" fillId="0" borderId="16" xfId="0" applyFont="1" applyBorder="1" applyAlignment="1">
      <alignment vertical="center"/>
    </xf>
    <xf numFmtId="37" fontId="83" fillId="0" borderId="0" xfId="0" applyNumberFormat="1" applyFont="1" applyBorder="1" applyAlignment="1">
      <alignment vertical="center" wrapText="1"/>
    </xf>
    <xf numFmtId="37" fontId="83" fillId="0" borderId="0" xfId="0" applyNumberFormat="1" applyFont="1" applyBorder="1" applyAlignment="1">
      <alignment horizontal="center" vertical="center" wrapText="1"/>
    </xf>
    <xf numFmtId="37" fontId="84" fillId="30" borderId="65" xfId="0" applyNumberFormat="1" applyFont="1" applyFill="1" applyBorder="1" applyAlignment="1">
      <alignment horizontal="center" vertical="center" wrapText="1"/>
    </xf>
    <xf numFmtId="37" fontId="83" fillId="30" borderId="0" xfId="0" applyNumberFormat="1" applyFont="1" applyFill="1" applyBorder="1" applyAlignment="1">
      <alignment horizontal="center" vertical="center" wrapText="1"/>
    </xf>
    <xf numFmtId="3" fontId="83" fillId="0" borderId="0" xfId="0" applyNumberFormat="1" applyFont="1" applyBorder="1" applyAlignment="1">
      <alignment horizontal="center" vertical="center" wrapText="1"/>
    </xf>
    <xf numFmtId="0" fontId="84" fillId="0" borderId="0" xfId="0" applyFont="1" applyAlignment="1"/>
    <xf numFmtId="3" fontId="83" fillId="0" borderId="0" xfId="0" applyNumberFormat="1" applyFont="1"/>
    <xf numFmtId="37" fontId="83" fillId="0" borderId="0" xfId="0" applyNumberFormat="1" applyFont="1" applyBorder="1"/>
    <xf numFmtId="3" fontId="83" fillId="0" borderId="0" xfId="0" applyNumberFormat="1" applyFont="1" applyBorder="1" applyAlignment="1">
      <alignment horizontal="center"/>
    </xf>
    <xf numFmtId="0" fontId="84" fillId="0" borderId="0" xfId="0" applyFont="1"/>
    <xf numFmtId="0" fontId="56" fillId="29" borderId="0" xfId="0" applyFont="1" applyFill="1" applyAlignment="1">
      <alignment horizontal="center"/>
    </xf>
    <xf numFmtId="0" fontId="59" fillId="41" borderId="22" xfId="0" applyFont="1" applyFill="1" applyBorder="1" applyAlignment="1">
      <alignment vertical="center"/>
    </xf>
    <xf numFmtId="0" fontId="59" fillId="41" borderId="5" xfId="0" applyFont="1" applyFill="1" applyBorder="1" applyAlignment="1">
      <alignment vertical="center" wrapText="1"/>
    </xf>
    <xf numFmtId="3" fontId="59" fillId="41" borderId="5" xfId="0" applyNumberFormat="1" applyFont="1" applyFill="1" applyBorder="1" applyAlignment="1">
      <alignment vertical="center" wrapText="1"/>
    </xf>
    <xf numFmtId="0" fontId="0" fillId="41" borderId="5" xfId="0" applyFill="1" applyBorder="1"/>
    <xf numFmtId="0" fontId="0" fillId="41" borderId="62" xfId="0" applyFill="1" applyBorder="1"/>
    <xf numFmtId="37" fontId="83" fillId="0" borderId="51" xfId="0" applyNumberFormat="1" applyFont="1" applyBorder="1" applyAlignment="1">
      <alignment vertical="center"/>
    </xf>
    <xf numFmtId="0" fontId="84" fillId="42" borderId="64" xfId="0" applyFont="1" applyFill="1" applyBorder="1" applyAlignment="1">
      <alignment vertical="center"/>
    </xf>
    <xf numFmtId="0" fontId="84" fillId="42" borderId="6" xfId="0" applyFont="1" applyFill="1" applyBorder="1" applyAlignment="1">
      <alignment vertical="center" wrapText="1"/>
    </xf>
    <xf numFmtId="37" fontId="84" fillId="42" borderId="6" xfId="0" applyNumberFormat="1" applyFont="1" applyFill="1" applyBorder="1" applyAlignment="1">
      <alignment vertical="center" wrapText="1"/>
    </xf>
    <xf numFmtId="37" fontId="84" fillId="42" borderId="6" xfId="0" applyNumberFormat="1" applyFont="1" applyFill="1" applyBorder="1"/>
    <xf numFmtId="37" fontId="84" fillId="42" borderId="29" xfId="0" applyNumberFormat="1" applyFont="1" applyFill="1" applyBorder="1"/>
    <xf numFmtId="37" fontId="73" fillId="40" borderId="16" xfId="0" applyNumberFormat="1" applyFont="1" applyFill="1" applyBorder="1"/>
    <xf numFmtId="37" fontId="83" fillId="0" borderId="0" xfId="0" applyNumberFormat="1" applyFont="1"/>
    <xf numFmtId="3" fontId="83" fillId="0" borderId="51" xfId="0" applyNumberFormat="1" applyFont="1" applyBorder="1" applyAlignment="1">
      <alignment vertical="center" wrapText="1"/>
    </xf>
    <xf numFmtId="43" fontId="60" fillId="0" borderId="51" xfId="330" applyFont="1" applyFill="1" applyBorder="1" applyAlignment="1">
      <alignment horizontal="center" vertical="center" wrapText="1"/>
    </xf>
    <xf numFmtId="5" fontId="60" fillId="0" borderId="51" xfId="0" applyNumberFormat="1" applyFont="1" applyFill="1" applyBorder="1" applyAlignment="1">
      <alignment horizontal="right" vertical="center" wrapText="1"/>
    </xf>
    <xf numFmtId="0" fontId="83" fillId="0" borderId="0" xfId="0" applyFont="1" applyBorder="1" applyAlignment="1">
      <alignment vertical="center" wrapText="1"/>
    </xf>
    <xf numFmtId="0" fontId="0" fillId="0" borderId="0" xfId="0" applyAlignment="1">
      <alignment horizontal="center"/>
    </xf>
    <xf numFmtId="0" fontId="57" fillId="0" borderId="64" xfId="0" applyFont="1" applyBorder="1" applyAlignment="1">
      <alignment horizontal="left"/>
    </xf>
    <xf numFmtId="0" fontId="57" fillId="0" borderId="6" xfId="0" applyFont="1" applyBorder="1"/>
    <xf numFmtId="0" fontId="57" fillId="0" borderId="11" xfId="0" applyFont="1" applyBorder="1" applyAlignment="1">
      <alignment horizontal="center" wrapText="1"/>
    </xf>
    <xf numFmtId="0" fontId="57" fillId="0" borderId="0" xfId="0" applyFont="1" applyAlignment="1">
      <alignment horizontal="center" wrapText="1"/>
    </xf>
    <xf numFmtId="0" fontId="57" fillId="0" borderId="0" xfId="0" applyFont="1" applyAlignment="1">
      <alignment horizontal="center"/>
    </xf>
    <xf numFmtId="0" fontId="57" fillId="0" borderId="0" xfId="0" applyFont="1" applyBorder="1" applyAlignment="1">
      <alignment horizontal="center"/>
    </xf>
    <xf numFmtId="0" fontId="57" fillId="0" borderId="0" xfId="0" applyFont="1"/>
    <xf numFmtId="0" fontId="57" fillId="0" borderId="0" xfId="0" applyFont="1" applyAlignment="1">
      <alignment horizontal="left"/>
    </xf>
    <xf numFmtId="0" fontId="0" fillId="0" borderId="0" xfId="0" applyAlignment="1">
      <alignment horizontal="left"/>
    </xf>
    <xf numFmtId="0" fontId="0" fillId="0" borderId="0" xfId="0" applyAlignment="1">
      <alignment horizontal="left" indent="2"/>
    </xf>
    <xf numFmtId="0" fontId="0" fillId="0" borderId="0" xfId="0" applyAlignment="1">
      <alignment horizontal="left" indent="3"/>
    </xf>
    <xf numFmtId="0" fontId="57" fillId="0" borderId="0" xfId="0" applyFont="1" applyAlignment="1">
      <alignment horizontal="left" indent="3"/>
    </xf>
    <xf numFmtId="0" fontId="0" fillId="0" borderId="0" xfId="0" applyAlignment="1">
      <alignment horizontal="left" indent="4"/>
    </xf>
    <xf numFmtId="0" fontId="0" fillId="0" borderId="0" xfId="0" applyAlignment="1">
      <alignment horizontal="left" indent="6"/>
    </xf>
    <xf numFmtId="0" fontId="63" fillId="29" borderId="47" xfId="0" applyFont="1" applyFill="1" applyBorder="1" applyAlignment="1">
      <alignment horizontal="left" indent="1"/>
    </xf>
    <xf numFmtId="0" fontId="57" fillId="0" borderId="0" xfId="0" applyFont="1" applyBorder="1" applyAlignment="1">
      <alignment vertical="center"/>
    </xf>
    <xf numFmtId="0" fontId="0" fillId="44" borderId="0" xfId="0" applyFill="1" applyBorder="1"/>
    <xf numFmtId="0" fontId="0" fillId="44" borderId="0" xfId="0" applyFill="1" applyBorder="1" applyAlignment="1">
      <alignment vertical="center"/>
    </xf>
    <xf numFmtId="0" fontId="0" fillId="44" borderId="0" xfId="0" applyFill="1" applyBorder="1" applyAlignment="1">
      <alignment vertical="center" wrapText="1"/>
    </xf>
    <xf numFmtId="0" fontId="0" fillId="44" borderId="0" xfId="0" applyFill="1" applyBorder="1" applyAlignment="1">
      <alignment wrapText="1"/>
    </xf>
    <xf numFmtId="0" fontId="83" fillId="44" borderId="0" xfId="0" applyFont="1" applyFill="1" applyBorder="1" applyAlignment="1">
      <alignment vertical="center" wrapText="1"/>
    </xf>
    <xf numFmtId="0" fontId="0" fillId="44" borderId="5" xfId="0" applyFill="1" applyBorder="1"/>
    <xf numFmtId="0" fontId="0" fillId="44" borderId="62" xfId="0" applyFill="1" applyBorder="1"/>
    <xf numFmtId="0" fontId="53" fillId="0" borderId="0" xfId="1038" applyFont="1" applyFill="1" applyBorder="1" applyAlignment="1" applyProtection="1"/>
    <xf numFmtId="0" fontId="84" fillId="45" borderId="70" xfId="0" applyFont="1" applyFill="1" applyBorder="1" applyAlignment="1">
      <alignment wrapText="1"/>
    </xf>
    <xf numFmtId="0" fontId="84" fillId="45" borderId="69" xfId="0" applyFont="1" applyFill="1" applyBorder="1" applyAlignment="1">
      <alignment horizontal="center" wrapText="1"/>
    </xf>
    <xf numFmtId="0" fontId="84" fillId="45" borderId="69" xfId="0" applyFont="1" applyFill="1" applyBorder="1" applyAlignment="1">
      <alignment wrapText="1"/>
    </xf>
    <xf numFmtId="173" fontId="0" fillId="0" borderId="11" xfId="0" applyNumberFormat="1" applyBorder="1" applyAlignment="1">
      <alignment horizontal="center"/>
    </xf>
    <xf numFmtId="173" fontId="0" fillId="0" borderId="6" xfId="0" applyNumberFormat="1" applyBorder="1" applyAlignment="1">
      <alignment horizontal="center"/>
    </xf>
    <xf numFmtId="173" fontId="0" fillId="0" borderId="0" xfId="0" applyNumberFormat="1" applyAlignment="1">
      <alignment horizontal="center"/>
    </xf>
    <xf numFmtId="173" fontId="0" fillId="0" borderId="11" xfId="0" applyNumberFormat="1" applyFill="1" applyBorder="1" applyAlignment="1">
      <alignment horizontal="center"/>
    </xf>
    <xf numFmtId="173" fontId="0" fillId="0" borderId="0" xfId="0" applyNumberFormat="1" applyBorder="1" applyAlignment="1">
      <alignment horizontal="center"/>
    </xf>
    <xf numFmtId="173" fontId="0" fillId="0" borderId="60" xfId="0" applyNumberFormat="1" applyBorder="1" applyAlignment="1">
      <alignment horizontal="center"/>
    </xf>
    <xf numFmtId="173" fontId="0" fillId="0" borderId="68" xfId="0" applyNumberFormat="1" applyBorder="1" applyAlignment="1">
      <alignment horizontal="center"/>
    </xf>
    <xf numFmtId="173" fontId="0" fillId="0" borderId="0" xfId="0" applyNumberFormat="1" applyFill="1" applyBorder="1" applyAlignment="1">
      <alignment horizontal="center"/>
    </xf>
    <xf numFmtId="173" fontId="0" fillId="0" borderId="60" xfId="0" applyNumberFormat="1" applyFill="1" applyBorder="1" applyAlignment="1">
      <alignment horizontal="center"/>
    </xf>
    <xf numFmtId="173" fontId="83" fillId="38" borderId="82" xfId="0" applyNumberFormat="1" applyFont="1" applyFill="1" applyBorder="1" applyAlignment="1">
      <alignment horizontal="center" vertical="center" wrapText="1"/>
    </xf>
    <xf numFmtId="0" fontId="84" fillId="45" borderId="56" xfId="0" applyFont="1" applyFill="1" applyBorder="1" applyAlignment="1">
      <alignment horizontal="left" vertical="center" wrapText="1" indent="1"/>
    </xf>
    <xf numFmtId="0" fontId="84" fillId="45" borderId="57" xfId="0" applyFont="1" applyFill="1" applyBorder="1" applyAlignment="1">
      <alignment horizontal="left" vertical="center" wrapText="1" indent="1"/>
    </xf>
    <xf numFmtId="0" fontId="77" fillId="29" borderId="39" xfId="0" applyFont="1" applyFill="1" applyBorder="1" applyAlignment="1">
      <alignment horizontal="left" vertical="center" indent="1"/>
    </xf>
    <xf numFmtId="0" fontId="76" fillId="29" borderId="42" xfId="0" applyFont="1" applyFill="1" applyBorder="1" applyAlignment="1">
      <alignment horizontal="left" vertical="center" indent="1"/>
    </xf>
    <xf numFmtId="0" fontId="75" fillId="45" borderId="83" xfId="0" applyFont="1" applyFill="1" applyBorder="1" applyAlignment="1">
      <alignment horizontal="left" vertical="center" wrapText="1" indent="1"/>
    </xf>
    <xf numFmtId="0" fontId="83" fillId="45" borderId="0" xfId="0" applyFont="1" applyFill="1" applyBorder="1" applyAlignment="1">
      <alignment horizontal="left" vertical="center" wrapText="1"/>
    </xf>
    <xf numFmtId="0" fontId="58" fillId="44" borderId="5" xfId="0" applyFont="1" applyFill="1" applyBorder="1"/>
    <xf numFmtId="0" fontId="57" fillId="0" borderId="76" xfId="0" applyFont="1" applyBorder="1" applyAlignment="1">
      <alignment horizontal="left"/>
    </xf>
    <xf numFmtId="0" fontId="57" fillId="0" borderId="76" xfId="0" applyFont="1" applyBorder="1"/>
    <xf numFmtId="0" fontId="57" fillId="45" borderId="76" xfId="0" applyFont="1" applyFill="1" applyBorder="1" applyAlignment="1">
      <alignment horizontal="left" vertical="center" wrapText="1"/>
    </xf>
    <xf numFmtId="0" fontId="57" fillId="45" borderId="0" xfId="0" applyFont="1" applyFill="1" applyBorder="1" applyAlignment="1">
      <alignment horizontal="left" vertical="center" wrapText="1"/>
    </xf>
    <xf numFmtId="0" fontId="57" fillId="0" borderId="0" xfId="0" applyFont="1" applyAlignment="1">
      <alignment horizontal="left" indent="1"/>
    </xf>
    <xf numFmtId="0" fontId="0" fillId="45" borderId="49" xfId="0" applyFont="1" applyFill="1" applyBorder="1" applyAlignment="1">
      <alignment vertical="center" wrapText="1"/>
    </xf>
    <xf numFmtId="0" fontId="0" fillId="45" borderId="76" xfId="0" applyFont="1" applyFill="1" applyBorder="1" applyAlignment="1">
      <alignment vertical="center" wrapText="1"/>
    </xf>
    <xf numFmtId="3" fontId="0" fillId="45" borderId="76" xfId="0" applyNumberFormat="1" applyFont="1" applyFill="1" applyBorder="1" applyAlignment="1">
      <alignment vertical="center" wrapText="1"/>
    </xf>
    <xf numFmtId="9" fontId="0" fillId="45" borderId="76" xfId="0" applyNumberFormat="1" applyFont="1" applyFill="1" applyBorder="1" applyAlignment="1">
      <alignment vertical="center" wrapText="1"/>
    </xf>
    <xf numFmtId="0" fontId="0" fillId="45" borderId="85" xfId="0" applyFont="1" applyFill="1" applyBorder="1" applyAlignment="1">
      <alignment vertical="center" wrapText="1"/>
    </xf>
    <xf numFmtId="0" fontId="63" fillId="44" borderId="0" xfId="0" applyFont="1" applyFill="1" applyBorder="1" applyAlignment="1">
      <alignment horizontal="left" indent="1"/>
    </xf>
    <xf numFmtId="0" fontId="57" fillId="44" borderId="0" xfId="0" applyFont="1" applyFill="1" applyBorder="1" applyAlignment="1">
      <alignment vertical="center" wrapText="1"/>
    </xf>
    <xf numFmtId="0" fontId="83" fillId="0" borderId="0" xfId="0" applyFont="1" applyBorder="1" applyAlignment="1">
      <alignment vertical="center"/>
    </xf>
    <xf numFmtId="0" fontId="84" fillId="44" borderId="44" xfId="0" applyFont="1" applyFill="1" applyBorder="1" applyAlignment="1">
      <alignment vertical="center" wrapText="1"/>
    </xf>
    <xf numFmtId="0" fontId="84" fillId="44" borderId="44" xfId="0" applyFont="1" applyFill="1" applyBorder="1" applyAlignment="1">
      <alignment horizontal="left" vertical="center" wrapText="1" indent="1"/>
    </xf>
    <xf numFmtId="0" fontId="57" fillId="45" borderId="75" xfId="0" applyFont="1" applyFill="1" applyBorder="1" applyAlignment="1">
      <alignment horizontal="left" vertical="center" wrapText="1" indent="2"/>
    </xf>
    <xf numFmtId="0" fontId="57" fillId="45" borderId="76" xfId="0" applyFont="1" applyFill="1" applyBorder="1" applyAlignment="1">
      <alignment horizontal="left" vertical="center" wrapText="1" indent="2"/>
    </xf>
    <xf numFmtId="0" fontId="57" fillId="0" borderId="0" xfId="0" applyFont="1" applyFill="1" applyBorder="1" applyAlignment="1"/>
    <xf numFmtId="173" fontId="57" fillId="43" borderId="11" xfId="0" applyNumberFormat="1" applyFont="1" applyFill="1" applyBorder="1" applyAlignment="1">
      <alignment horizontal="center"/>
    </xf>
    <xf numFmtId="0" fontId="83" fillId="0" borderId="51" xfId="0" applyFont="1" applyFill="1" applyBorder="1" applyAlignment="1">
      <alignment horizontal="left" vertical="center" wrapText="1"/>
    </xf>
    <xf numFmtId="0" fontId="83" fillId="45" borderId="51" xfId="0" applyFont="1" applyFill="1" applyBorder="1" applyAlignment="1">
      <alignment horizontal="left" vertical="center" wrapText="1"/>
    </xf>
    <xf numFmtId="0" fontId="57" fillId="45" borderId="57" xfId="0" applyFont="1" applyFill="1" applyBorder="1" applyAlignment="1">
      <alignment horizontal="left" vertical="center" wrapText="1"/>
    </xf>
    <xf numFmtId="173" fontId="83" fillId="45" borderId="51" xfId="0" applyNumberFormat="1" applyFont="1" applyFill="1" applyBorder="1" applyAlignment="1">
      <alignment horizontal="center" vertical="center" wrapText="1"/>
    </xf>
    <xf numFmtId="173" fontId="83" fillId="45" borderId="74" xfId="0" applyNumberFormat="1" applyFont="1" applyFill="1" applyBorder="1" applyAlignment="1">
      <alignment horizontal="center" vertical="center" wrapText="1"/>
    </xf>
    <xf numFmtId="173" fontId="83" fillId="45" borderId="0" xfId="0" applyNumberFormat="1" applyFont="1" applyFill="1" applyBorder="1" applyAlignment="1">
      <alignment horizontal="center" vertical="center" wrapText="1"/>
    </xf>
    <xf numFmtId="173" fontId="83" fillId="45" borderId="66" xfId="0" applyNumberFormat="1" applyFont="1" applyFill="1" applyBorder="1" applyAlignment="1">
      <alignment horizontal="center" vertical="center" wrapText="1"/>
    </xf>
    <xf numFmtId="0" fontId="0" fillId="0" borderId="51" xfId="0" applyFill="1" applyBorder="1" applyAlignment="1">
      <alignment horizontal="left" vertical="center" wrapText="1"/>
    </xf>
    <xf numFmtId="0" fontId="0" fillId="0" borderId="51" xfId="0" applyBorder="1" applyAlignment="1">
      <alignment horizontal="left" vertical="center" wrapText="1"/>
    </xf>
    <xf numFmtId="0" fontId="84" fillId="30" borderId="0" xfId="0" applyFont="1" applyFill="1"/>
    <xf numFmtId="0" fontId="84" fillId="30" borderId="0" xfId="0" applyFont="1" applyFill="1" applyAlignment="1">
      <alignment horizontal="center"/>
    </xf>
    <xf numFmtId="0" fontId="84" fillId="30" borderId="0" xfId="0" applyFont="1" applyFill="1" applyAlignment="1">
      <alignment horizontal="center" wrapText="1"/>
    </xf>
    <xf numFmtId="0" fontId="83" fillId="0" borderId="76" xfId="0" applyFont="1" applyBorder="1"/>
    <xf numFmtId="37" fontId="83" fillId="0" borderId="76" xfId="0" applyNumberFormat="1" applyFont="1" applyBorder="1"/>
    <xf numFmtId="9" fontId="83" fillId="0" borderId="76" xfId="0" applyNumberFormat="1" applyFont="1" applyBorder="1" applyAlignment="1">
      <alignment horizontal="center"/>
    </xf>
    <xf numFmtId="0" fontId="84" fillId="46" borderId="0" xfId="0" applyFont="1" applyFill="1"/>
    <xf numFmtId="37" fontId="84" fillId="46" borderId="0" xfId="0" applyNumberFormat="1" applyFont="1" applyFill="1"/>
    <xf numFmtId="0" fontId="92" fillId="0" borderId="0" xfId="0" applyFont="1"/>
    <xf numFmtId="0" fontId="93" fillId="0" borderId="0" xfId="0" applyFont="1"/>
    <xf numFmtId="0" fontId="92" fillId="0" borderId="0" xfId="0" applyFont="1" applyAlignment="1">
      <alignment horizontal="center"/>
    </xf>
    <xf numFmtId="3" fontId="0" fillId="0" borderId="0" xfId="0" applyNumberFormat="1" applyFont="1" applyFill="1" applyBorder="1" applyAlignment="1">
      <alignment vertical="center" wrapText="1"/>
    </xf>
    <xf numFmtId="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7" fontId="0" fillId="0" borderId="0" xfId="0" applyNumberFormat="1" applyFont="1" applyFill="1" applyBorder="1" applyAlignment="1">
      <alignment horizontal="center" vertical="center" wrapText="1"/>
    </xf>
    <xf numFmtId="37" fontId="84" fillId="42" borderId="76" xfId="0" applyNumberFormat="1" applyFont="1" applyFill="1" applyBorder="1"/>
    <xf numFmtId="38" fontId="84" fillId="0" borderId="0" xfId="0" applyNumberFormat="1" applyFont="1" applyAlignment="1">
      <alignment vertical="center"/>
    </xf>
    <xf numFmtId="38" fontId="83" fillId="0" borderId="51" xfId="0" applyNumberFormat="1" applyFont="1" applyBorder="1" applyAlignment="1">
      <alignment vertical="center" wrapText="1"/>
    </xf>
    <xf numFmtId="38" fontId="83" fillId="0" borderId="51" xfId="0" applyNumberFormat="1" applyFont="1" applyBorder="1" applyAlignment="1">
      <alignment vertical="center"/>
    </xf>
    <xf numFmtId="38" fontId="84" fillId="0" borderId="51" xfId="0" applyNumberFormat="1" applyFont="1" applyBorder="1" applyAlignment="1">
      <alignment vertical="center"/>
    </xf>
    <xf numFmtId="38" fontId="83" fillId="0" borderId="0" xfId="0" applyNumberFormat="1" applyFont="1"/>
    <xf numFmtId="38" fontId="83" fillId="0" borderId="66" xfId="0" applyNumberFormat="1" applyFont="1" applyBorder="1" applyAlignment="1">
      <alignment vertical="center" wrapText="1"/>
    </xf>
    <xf numFmtId="38" fontId="91" fillId="0" borderId="51" xfId="0" applyNumberFormat="1" applyFont="1" applyBorder="1" applyAlignment="1">
      <alignment vertical="center"/>
    </xf>
    <xf numFmtId="38" fontId="83" fillId="0" borderId="0" xfId="0" applyNumberFormat="1" applyFont="1" applyAlignment="1">
      <alignment vertical="center" wrapText="1"/>
    </xf>
    <xf numFmtId="38" fontId="0" fillId="0" borderId="0" xfId="0" applyNumberFormat="1"/>
    <xf numFmtId="0" fontId="97" fillId="0" borderId="0" xfId="0" applyFont="1"/>
    <xf numFmtId="38" fontId="0" fillId="0" borderId="0" xfId="0" applyNumberFormat="1" applyFont="1"/>
    <xf numFmtId="0" fontId="100" fillId="0" borderId="0" xfId="0" applyFont="1" applyFill="1" applyBorder="1" applyAlignment="1">
      <alignment vertical="center" wrapText="1"/>
    </xf>
    <xf numFmtId="0" fontId="100" fillId="48" borderId="51" xfId="0" applyFont="1" applyFill="1" applyBorder="1" applyAlignment="1">
      <alignment vertical="center" wrapText="1"/>
    </xf>
    <xf numFmtId="0" fontId="100" fillId="48" borderId="51" xfId="0" applyFont="1" applyFill="1" applyBorder="1" applyAlignment="1">
      <alignment horizontal="center" vertical="center" wrapText="1"/>
    </xf>
    <xf numFmtId="3" fontId="100" fillId="48" borderId="51" xfId="0" applyNumberFormat="1" applyFont="1" applyFill="1" applyBorder="1" applyAlignment="1">
      <alignment horizontal="center" vertical="center" wrapText="1"/>
    </xf>
    <xf numFmtId="43" fontId="100" fillId="48" borderId="51" xfId="330" applyFont="1" applyFill="1" applyBorder="1" applyAlignment="1">
      <alignment horizontal="center" vertical="center" wrapText="1"/>
    </xf>
    <xf numFmtId="9" fontId="100" fillId="48" borderId="51" xfId="0" applyNumberFormat="1" applyFont="1" applyFill="1" applyBorder="1" applyAlignment="1">
      <alignment horizontal="center" vertical="center" wrapText="1"/>
    </xf>
    <xf numFmtId="5" fontId="101" fillId="48" borderId="51" xfId="428" applyNumberFormat="1" applyFont="1" applyFill="1" applyBorder="1" applyAlignment="1">
      <alignment horizontal="right" vertical="center" wrapText="1"/>
    </xf>
    <xf numFmtId="172" fontId="100" fillId="48" borderId="51" xfId="0" applyNumberFormat="1" applyFont="1" applyFill="1" applyBorder="1" applyAlignment="1">
      <alignment horizontal="center" vertical="center" wrapText="1"/>
    </xf>
    <xf numFmtId="3" fontId="100" fillId="48" borderId="51" xfId="0" applyNumberFormat="1" applyFont="1" applyFill="1" applyBorder="1" applyAlignment="1">
      <alignment vertical="center" wrapText="1"/>
    </xf>
    <xf numFmtId="0" fontId="0" fillId="48" borderId="51" xfId="0" applyFill="1" applyBorder="1" applyAlignment="1">
      <alignment vertical="center" wrapText="1"/>
    </xf>
    <xf numFmtId="0" fontId="0" fillId="48" borderId="51" xfId="0" applyFill="1" applyBorder="1" applyAlignment="1">
      <alignment horizontal="center" vertical="center" wrapText="1"/>
    </xf>
    <xf numFmtId="3" fontId="0" fillId="48" borderId="51" xfId="0" applyNumberFormat="1" applyFill="1" applyBorder="1" applyAlignment="1">
      <alignment horizontal="center" vertical="center" wrapText="1"/>
    </xf>
    <xf numFmtId="3" fontId="60" fillId="48" borderId="51" xfId="0" applyNumberFormat="1" applyFont="1" applyFill="1" applyBorder="1" applyAlignment="1">
      <alignment horizontal="center" vertical="center" wrapText="1"/>
    </xf>
    <xf numFmtId="43" fontId="54" fillId="48" borderId="51" xfId="330" applyFont="1" applyFill="1" applyBorder="1" applyAlignment="1">
      <alignment horizontal="center" vertical="center" wrapText="1"/>
    </xf>
    <xf numFmtId="9" fontId="0" fillId="48" borderId="51" xfId="0" applyNumberFormat="1" applyFill="1" applyBorder="1" applyAlignment="1">
      <alignment horizontal="center" vertical="center" wrapText="1"/>
    </xf>
    <xf numFmtId="0" fontId="0" fillId="48" borderId="51" xfId="0" applyFont="1" applyFill="1" applyBorder="1" applyAlignment="1">
      <alignment horizontal="center" vertical="center" wrapText="1"/>
    </xf>
    <xf numFmtId="17" fontId="0" fillId="48" borderId="51" xfId="0" applyNumberFormat="1" applyFont="1" applyFill="1" applyBorder="1" applyAlignment="1">
      <alignment horizontal="center" vertical="center" wrapText="1"/>
    </xf>
    <xf numFmtId="9" fontId="0" fillId="48" borderId="51" xfId="0" applyNumberFormat="1" applyFont="1" applyFill="1" applyBorder="1" applyAlignment="1">
      <alignment horizontal="center" vertical="center" wrapText="1"/>
    </xf>
    <xf numFmtId="5" fontId="74" fillId="48" borderId="51" xfId="428" applyNumberFormat="1" applyFont="1" applyFill="1" applyBorder="1" applyAlignment="1">
      <alignment horizontal="right" vertical="center" wrapText="1"/>
    </xf>
    <xf numFmtId="5" fontId="60" fillId="48" borderId="51" xfId="428" applyNumberFormat="1" applyFont="1" applyFill="1" applyBorder="1" applyAlignment="1">
      <alignment horizontal="right" vertical="center" wrapText="1"/>
    </xf>
    <xf numFmtId="172" fontId="60" fillId="48" borderId="51" xfId="0" applyNumberFormat="1" applyFont="1" applyFill="1" applyBorder="1" applyAlignment="1">
      <alignment horizontal="center" vertical="center" wrapText="1"/>
    </xf>
    <xf numFmtId="5" fontId="80" fillId="48" borderId="51" xfId="428" applyNumberFormat="1" applyFont="1" applyFill="1" applyBorder="1" applyAlignment="1">
      <alignment horizontal="right" vertical="center" wrapText="1"/>
    </xf>
    <xf numFmtId="3" fontId="0" fillId="48" borderId="51" xfId="0" applyNumberFormat="1" applyFill="1" applyBorder="1" applyAlignment="1">
      <alignment vertical="center" wrapText="1"/>
    </xf>
    <xf numFmtId="3" fontId="0" fillId="48" borderId="51" xfId="0" applyNumberFormat="1" applyFont="1" applyFill="1" applyBorder="1" applyAlignment="1">
      <alignment vertical="center" wrapText="1"/>
    </xf>
    <xf numFmtId="3" fontId="60" fillId="48" borderId="51" xfId="0" applyNumberFormat="1" applyFont="1" applyFill="1" applyBorder="1" applyAlignment="1">
      <alignment vertical="center" wrapText="1"/>
    </xf>
    <xf numFmtId="0" fontId="80" fillId="48" borderId="51" xfId="0" applyFont="1" applyFill="1" applyBorder="1" applyAlignment="1">
      <alignment horizontal="center" vertical="center" wrapText="1"/>
    </xf>
    <xf numFmtId="17" fontId="80" fillId="0" borderId="0" xfId="0" applyNumberFormat="1" applyFont="1" applyFill="1" applyBorder="1" applyAlignment="1">
      <alignment horizontal="center"/>
    </xf>
    <xf numFmtId="0" fontId="80" fillId="0" borderId="51" xfId="0" applyFont="1" applyFill="1" applyBorder="1" applyAlignment="1">
      <alignment horizontal="center" vertical="center" wrapText="1"/>
    </xf>
    <xf numFmtId="3" fontId="0" fillId="49" borderId="0" xfId="0" applyNumberFormat="1" applyFill="1" applyBorder="1" applyAlignment="1">
      <alignment vertical="center" wrapText="1"/>
    </xf>
    <xf numFmtId="3" fontId="0" fillId="49" borderId="51" xfId="0" applyNumberFormat="1" applyFill="1" applyBorder="1" applyAlignment="1">
      <alignment vertical="center" wrapText="1"/>
    </xf>
    <xf numFmtId="3" fontId="60" fillId="49" borderId="51" xfId="0" applyNumberFormat="1" applyFont="1" applyFill="1" applyBorder="1" applyAlignment="1">
      <alignment vertical="center" wrapText="1"/>
    </xf>
    <xf numFmtId="3" fontId="60" fillId="49" borderId="0" xfId="0" applyNumberFormat="1" applyFont="1" applyFill="1" applyBorder="1" applyAlignment="1">
      <alignment vertical="center" wrapText="1"/>
    </xf>
    <xf numFmtId="0" fontId="92" fillId="0" borderId="0" xfId="0" applyFont="1" applyAlignment="1">
      <alignment vertical="center" wrapText="1"/>
    </xf>
    <xf numFmtId="0" fontId="93" fillId="0" borderId="0" xfId="0" applyFont="1" applyAlignment="1">
      <alignment vertical="center" wrapText="1"/>
    </xf>
    <xf numFmtId="0" fontId="93" fillId="0" borderId="25" xfId="0" applyFont="1" applyBorder="1" applyAlignment="1">
      <alignment horizontal="center" vertical="center" wrapText="1"/>
    </xf>
    <xf numFmtId="0" fontId="93" fillId="0" borderId="0" xfId="0" applyFont="1" applyBorder="1" applyAlignment="1">
      <alignment horizontal="center" vertical="center" wrapText="1"/>
    </xf>
    <xf numFmtId="0" fontId="93" fillId="0" borderId="10" xfId="0" applyFont="1" applyBorder="1" applyAlignment="1">
      <alignment horizontal="center" vertical="center" wrapText="1"/>
    </xf>
    <xf numFmtId="164" fontId="92" fillId="0" borderId="25" xfId="0" applyNumberFormat="1" applyFont="1" applyBorder="1" applyAlignment="1">
      <alignment vertical="center" wrapText="1"/>
    </xf>
    <xf numFmtId="9" fontId="92" fillId="0" borderId="0" xfId="0" applyNumberFormat="1" applyFont="1" applyBorder="1" applyAlignment="1">
      <alignment horizontal="center" vertical="center" wrapText="1"/>
    </xf>
    <xf numFmtId="164" fontId="92" fillId="0" borderId="0" xfId="0" applyNumberFormat="1" applyFont="1" applyBorder="1" applyAlignment="1">
      <alignment vertical="center" wrapText="1"/>
    </xf>
    <xf numFmtId="0" fontId="92" fillId="0" borderId="10" xfId="0" applyFont="1" applyBorder="1" applyAlignment="1">
      <alignment horizontal="center" vertical="center" wrapText="1"/>
    </xf>
    <xf numFmtId="164" fontId="92" fillId="0" borderId="93" xfId="0" applyNumberFormat="1" applyFont="1" applyBorder="1" applyAlignment="1">
      <alignment vertical="center" wrapText="1"/>
    </xf>
    <xf numFmtId="9" fontId="92" fillId="0" borderId="17" xfId="0" applyNumberFormat="1" applyFont="1" applyBorder="1" applyAlignment="1">
      <alignment horizontal="center" vertical="center" wrapText="1"/>
    </xf>
    <xf numFmtId="164" fontId="92" fillId="0" borderId="17" xfId="0" applyNumberFormat="1" applyFont="1" applyBorder="1" applyAlignment="1">
      <alignment vertical="center" wrapText="1"/>
    </xf>
    <xf numFmtId="0" fontId="92" fillId="0" borderId="94" xfId="0" applyFont="1" applyBorder="1" applyAlignment="1">
      <alignment horizontal="center" vertical="center" wrapText="1"/>
    </xf>
    <xf numFmtId="0" fontId="92" fillId="0" borderId="17" xfId="0" applyFont="1" applyBorder="1" applyAlignment="1">
      <alignment vertical="center" wrapText="1"/>
    </xf>
    <xf numFmtId="0" fontId="92" fillId="0" borderId="94" xfId="0" applyFont="1" applyBorder="1" applyAlignment="1">
      <alignment vertical="center" wrapText="1"/>
    </xf>
    <xf numFmtId="164" fontId="93" fillId="0" borderId="0" xfId="0" applyNumberFormat="1" applyFont="1" applyAlignment="1">
      <alignment vertical="center" wrapText="1"/>
    </xf>
    <xf numFmtId="0" fontId="93" fillId="0" borderId="0" xfId="0" applyFont="1" applyAlignment="1">
      <alignment horizontal="center" vertical="center" wrapText="1"/>
    </xf>
    <xf numFmtId="37" fontId="93" fillId="0" borderId="0" xfId="0" applyNumberFormat="1" applyFont="1" applyAlignment="1">
      <alignment vertical="center" wrapText="1"/>
    </xf>
    <xf numFmtId="0" fontId="92" fillId="0" borderId="76" xfId="0" applyFont="1" applyBorder="1" applyAlignment="1">
      <alignment vertical="center" wrapText="1"/>
    </xf>
    <xf numFmtId="164" fontId="92" fillId="0" borderId="26" xfId="0" applyNumberFormat="1" applyFont="1" applyBorder="1" applyAlignment="1">
      <alignment vertical="center" wrapText="1"/>
    </xf>
    <xf numFmtId="9" fontId="92" fillId="0" borderId="76" xfId="0" applyNumberFormat="1" applyFont="1" applyBorder="1" applyAlignment="1">
      <alignment horizontal="center" vertical="center" wrapText="1"/>
    </xf>
    <xf numFmtId="164" fontId="92" fillId="0" borderId="76" xfId="0" applyNumberFormat="1" applyFont="1" applyBorder="1" applyAlignment="1">
      <alignment vertical="center" wrapText="1"/>
    </xf>
    <xf numFmtId="0" fontId="92" fillId="0" borderId="95" xfId="0" applyFont="1" applyBorder="1" applyAlignment="1">
      <alignment horizontal="center" vertical="center" wrapText="1"/>
    </xf>
    <xf numFmtId="164" fontId="94" fillId="0" borderId="26" xfId="0" applyNumberFormat="1" applyFont="1" applyBorder="1" applyAlignment="1">
      <alignment vertical="center" wrapText="1"/>
    </xf>
    <xf numFmtId="164" fontId="94" fillId="0" borderId="76" xfId="0" applyNumberFormat="1" applyFont="1" applyBorder="1" applyAlignment="1">
      <alignment vertical="center" wrapText="1"/>
    </xf>
    <xf numFmtId="0" fontId="94" fillId="0" borderId="95" xfId="0" applyFont="1" applyBorder="1" applyAlignment="1">
      <alignment horizontal="center" vertical="center" wrapText="1"/>
    </xf>
    <xf numFmtId="164" fontId="102" fillId="0" borderId="26" xfId="0" applyNumberFormat="1" applyFont="1" applyBorder="1" applyAlignment="1">
      <alignment vertical="center" wrapText="1"/>
    </xf>
    <xf numFmtId="9" fontId="102" fillId="0" borderId="76" xfId="0" applyNumberFormat="1" applyFont="1" applyBorder="1" applyAlignment="1">
      <alignment horizontal="center" vertical="center" wrapText="1"/>
    </xf>
    <xf numFmtId="164" fontId="102" fillId="0" borderId="76" xfId="0" applyNumberFormat="1" applyFont="1" applyBorder="1" applyAlignment="1">
      <alignment vertical="center" wrapText="1"/>
    </xf>
    <xf numFmtId="0" fontId="102" fillId="0" borderId="95" xfId="0" applyFont="1" applyBorder="1" applyAlignment="1">
      <alignment horizontal="center" vertical="center" wrapText="1"/>
    </xf>
    <xf numFmtId="9" fontId="94" fillId="0" borderId="76" xfId="0" applyNumberFormat="1" applyFont="1" applyBorder="1" applyAlignment="1">
      <alignment horizontal="center" vertical="center" wrapText="1"/>
    </xf>
    <xf numFmtId="16" fontId="94" fillId="0" borderId="95" xfId="0" quotePrefix="1" applyNumberFormat="1" applyFont="1" applyBorder="1" applyAlignment="1">
      <alignment horizontal="center" vertical="center" wrapText="1"/>
    </xf>
    <xf numFmtId="3" fontId="0" fillId="49" borderId="96" xfId="0" applyNumberFormat="1" applyFill="1" applyBorder="1" applyAlignment="1">
      <alignment vertical="center" wrapText="1"/>
    </xf>
    <xf numFmtId="3" fontId="0" fillId="0" borderId="97" xfId="0" applyNumberFormat="1" applyFill="1" applyBorder="1" applyAlignment="1">
      <alignment vertical="center" wrapText="1"/>
    </xf>
    <xf numFmtId="3" fontId="60" fillId="49" borderId="96" xfId="0" applyNumberFormat="1" applyFont="1" applyFill="1" applyBorder="1" applyAlignment="1">
      <alignment vertical="center" wrapText="1"/>
    </xf>
    <xf numFmtId="3" fontId="60" fillId="0" borderId="97" xfId="0" applyNumberFormat="1" applyFont="1" applyFill="1" applyBorder="1" applyAlignment="1">
      <alignment vertical="center" wrapText="1"/>
    </xf>
    <xf numFmtId="3" fontId="60" fillId="49" borderId="98" xfId="0" applyNumberFormat="1" applyFont="1" applyFill="1" applyBorder="1" applyAlignment="1">
      <alignment vertical="center" wrapText="1"/>
    </xf>
    <xf numFmtId="3" fontId="0" fillId="49" borderId="98" xfId="0" applyNumberFormat="1" applyFill="1" applyBorder="1" applyAlignment="1">
      <alignment vertical="center" wrapText="1"/>
    </xf>
    <xf numFmtId="3" fontId="0" fillId="0" borderId="97" xfId="0" applyNumberFormat="1" applyBorder="1" applyAlignment="1">
      <alignment vertical="center" wrapText="1"/>
    </xf>
    <xf numFmtId="3" fontId="0" fillId="0" borderId="99" xfId="0" applyNumberFormat="1" applyBorder="1" applyAlignment="1">
      <alignment vertical="center" wrapText="1"/>
    </xf>
    <xf numFmtId="17" fontId="56" fillId="39" borderId="100" xfId="0" applyNumberFormat="1" applyFont="1" applyFill="1" applyBorder="1" applyAlignment="1">
      <alignment horizontal="center" wrapText="1"/>
    </xf>
    <xf numFmtId="17" fontId="56" fillId="39" borderId="101" xfId="0" applyNumberFormat="1" applyFont="1" applyFill="1" applyBorder="1" applyAlignment="1">
      <alignment horizontal="center" wrapText="1"/>
    </xf>
    <xf numFmtId="3" fontId="0" fillId="0" borderId="97" xfId="0" applyNumberFormat="1" applyFont="1" applyFill="1" applyBorder="1" applyAlignment="1">
      <alignment vertical="center" wrapText="1"/>
    </xf>
    <xf numFmtId="3" fontId="80" fillId="0" borderId="97" xfId="0" applyNumberFormat="1" applyFont="1" applyFill="1" applyBorder="1" applyAlignment="1">
      <alignment vertical="center" wrapText="1"/>
    </xf>
    <xf numFmtId="3" fontId="0" fillId="0" borderId="99" xfId="0" applyNumberFormat="1" applyFont="1" applyFill="1" applyBorder="1" applyAlignment="1">
      <alignment vertical="center" wrapText="1"/>
    </xf>
    <xf numFmtId="0" fontId="56" fillId="39" borderId="102" xfId="0" applyFont="1" applyFill="1" applyBorder="1" applyAlignment="1">
      <alignment horizontal="center" wrapText="1"/>
    </xf>
    <xf numFmtId="3" fontId="57" fillId="45" borderId="51" xfId="0" applyNumberFormat="1" applyFont="1" applyFill="1" applyBorder="1" applyAlignment="1">
      <alignment vertical="center" wrapText="1"/>
    </xf>
    <xf numFmtId="3" fontId="0" fillId="45" borderId="0" xfId="0" applyNumberFormat="1" applyFill="1" applyBorder="1" applyAlignment="1">
      <alignment vertical="center" wrapText="1"/>
    </xf>
    <xf numFmtId="0" fontId="103" fillId="0" borderId="0" xfId="0" applyFont="1" applyFill="1" applyBorder="1" applyAlignment="1">
      <alignment vertical="center"/>
    </xf>
    <xf numFmtId="0" fontId="61" fillId="0" borderId="0" xfId="0" applyFont="1" applyBorder="1" applyAlignment="1">
      <alignment vertical="center" wrapText="1"/>
    </xf>
    <xf numFmtId="174" fontId="0" fillId="0" borderId="0" xfId="0" applyNumberFormat="1" applyFill="1" applyBorder="1" applyAlignment="1">
      <alignment horizontal="center"/>
    </xf>
    <xf numFmtId="17" fontId="60" fillId="0" borderId="0" xfId="0" applyNumberFormat="1" applyFont="1" applyFill="1" applyBorder="1" applyAlignment="1">
      <alignment horizontal="center"/>
    </xf>
    <xf numFmtId="0" fontId="0" fillId="0" borderId="92" xfId="0" applyFill="1" applyBorder="1" applyAlignment="1">
      <alignment horizontal="center"/>
    </xf>
    <xf numFmtId="0" fontId="0" fillId="0" borderId="10" xfId="0" applyFill="1" applyBorder="1" applyAlignment="1">
      <alignment horizontal="center"/>
    </xf>
    <xf numFmtId="3" fontId="0" fillId="0" borderId="0" xfId="0" applyNumberFormat="1" applyFill="1" applyBorder="1" applyAlignment="1">
      <alignment horizontal="center"/>
    </xf>
    <xf numFmtId="0" fontId="0" fillId="0" borderId="17" xfId="0" applyFill="1" applyBorder="1" applyAlignment="1">
      <alignment horizontal="center"/>
    </xf>
    <xf numFmtId="0" fontId="56" fillId="33" borderId="91" xfId="0" applyFont="1" applyFill="1" applyBorder="1"/>
    <xf numFmtId="0" fontId="0" fillId="0" borderId="103" xfId="0" applyBorder="1" applyAlignment="1">
      <alignment horizontal="center"/>
    </xf>
    <xf numFmtId="0" fontId="0" fillId="0" borderId="92" xfId="0" applyBorder="1" applyAlignment="1">
      <alignment horizontal="center"/>
    </xf>
    <xf numFmtId="0" fontId="64" fillId="0" borderId="25" xfId="0" applyFont="1" applyFill="1" applyBorder="1"/>
    <xf numFmtId="0" fontId="0" fillId="0" borderId="25" xfId="0" applyBorder="1"/>
    <xf numFmtId="164" fontId="0" fillId="0" borderId="10" xfId="0" applyNumberFormat="1" applyFill="1" applyBorder="1" applyAlignment="1">
      <alignment horizontal="center"/>
    </xf>
    <xf numFmtId="0" fontId="61" fillId="0" borderId="93" xfId="0" applyFont="1" applyBorder="1" applyAlignment="1">
      <alignment vertical="center" wrapText="1"/>
    </xf>
    <xf numFmtId="164" fontId="0" fillId="0" borderId="94" xfId="0" applyNumberFormat="1" applyFill="1" applyBorder="1" applyAlignment="1">
      <alignment horizontal="center"/>
    </xf>
    <xf numFmtId="0" fontId="0" fillId="0" borderId="91" xfId="0" applyBorder="1"/>
    <xf numFmtId="0" fontId="0" fillId="0" borderId="25" xfId="0" applyFill="1" applyBorder="1"/>
    <xf numFmtId="0" fontId="70" fillId="0" borderId="25" xfId="0" applyFont="1" applyFill="1" applyBorder="1"/>
    <xf numFmtId="0" fontId="0" fillId="0" borderId="91" xfId="0" applyFill="1" applyBorder="1"/>
    <xf numFmtId="0" fontId="60" fillId="0" borderId="25" xfId="0" applyFont="1" applyFill="1" applyBorder="1"/>
    <xf numFmtId="0" fontId="55" fillId="33" borderId="91" xfId="0" applyFont="1" applyFill="1" applyBorder="1"/>
    <xf numFmtId="0" fontId="0" fillId="0" borderId="28" xfId="0" applyFill="1" applyBorder="1"/>
    <xf numFmtId="0" fontId="0" fillId="0" borderId="92" xfId="0" applyFill="1" applyBorder="1"/>
    <xf numFmtId="0" fontId="0" fillId="0" borderId="10" xfId="0" applyFill="1" applyBorder="1" applyAlignment="1">
      <alignment horizontal="left"/>
    </xf>
    <xf numFmtId="0" fontId="83" fillId="45" borderId="51" xfId="0" applyFont="1" applyFill="1" applyBorder="1" applyAlignment="1">
      <alignment horizontal="left" vertical="center" wrapText="1"/>
    </xf>
    <xf numFmtId="0" fontId="83" fillId="0" borderId="51" xfId="0" applyFont="1" applyFill="1" applyBorder="1" applyAlignment="1">
      <alignment horizontal="left" vertical="center" wrapText="1"/>
    </xf>
    <xf numFmtId="0" fontId="63" fillId="29" borderId="47" xfId="0" applyFont="1" applyFill="1" applyBorder="1" applyAlignment="1">
      <alignment horizontal="left" vertical="center" wrapText="1" indent="1"/>
    </xf>
    <xf numFmtId="0" fontId="63" fillId="29" borderId="46" xfId="0" applyFont="1" applyFill="1" applyBorder="1" applyAlignment="1">
      <alignment horizontal="left" vertical="center" wrapText="1" indent="1"/>
    </xf>
    <xf numFmtId="0" fontId="57" fillId="45" borderId="76" xfId="0" applyFont="1" applyFill="1" applyBorder="1" applyAlignment="1">
      <alignment horizontal="left" vertical="center" wrapText="1" indent="1"/>
    </xf>
    <xf numFmtId="0" fontId="57" fillId="45" borderId="57" xfId="0" applyFont="1" applyFill="1" applyBorder="1" applyAlignment="1">
      <alignment horizontal="left" vertical="center" wrapText="1"/>
    </xf>
    <xf numFmtId="0" fontId="57" fillId="45" borderId="76" xfId="0" applyFont="1" applyFill="1" applyBorder="1" applyAlignment="1">
      <alignment horizontal="left" vertical="center" wrapText="1" indent="1"/>
    </xf>
    <xf numFmtId="0" fontId="57" fillId="45" borderId="57" xfId="0" applyFont="1" applyFill="1" applyBorder="1" applyAlignment="1">
      <alignment horizontal="left" vertical="center" wrapText="1"/>
    </xf>
    <xf numFmtId="0" fontId="83" fillId="45" borderId="51" xfId="0" applyFont="1" applyFill="1" applyBorder="1" applyAlignment="1">
      <alignment horizontal="left" vertical="center" wrapText="1"/>
    </xf>
    <xf numFmtId="0" fontId="83" fillId="0" borderId="51" xfId="0" applyFont="1" applyFill="1" applyBorder="1" applyAlignment="1">
      <alignment horizontal="left" vertical="center" wrapText="1"/>
    </xf>
    <xf numFmtId="0" fontId="63" fillId="29" borderId="39" xfId="0" applyFont="1" applyFill="1" applyBorder="1" applyAlignment="1">
      <alignment horizontal="left" vertical="center" wrapText="1" indent="1"/>
    </xf>
    <xf numFmtId="0" fontId="63" fillId="29" borderId="40" xfId="0" applyFont="1" applyFill="1" applyBorder="1" applyAlignment="1">
      <alignment horizontal="left" vertical="center" wrapText="1" indent="1"/>
    </xf>
    <xf numFmtId="0" fontId="0" fillId="0" borderId="51" xfId="0" applyNumberFormat="1" applyBorder="1" applyAlignment="1">
      <alignment horizontal="right" vertical="center" wrapText="1"/>
    </xf>
    <xf numFmtId="0" fontId="57" fillId="44" borderId="0" xfId="0" applyFont="1" applyFill="1" applyBorder="1" applyAlignment="1">
      <alignment horizontal="left" vertical="center" wrapText="1"/>
    </xf>
    <xf numFmtId="0" fontId="75" fillId="44" borderId="0" xfId="0" applyFont="1" applyFill="1" applyBorder="1" applyAlignment="1">
      <alignment horizontal="left" vertical="center" wrapText="1" indent="1"/>
    </xf>
    <xf numFmtId="0" fontId="0" fillId="44" borderId="0" xfId="0" applyFont="1" applyFill="1" applyBorder="1" applyAlignment="1">
      <alignment horizontal="center" vertical="center" wrapText="1"/>
    </xf>
    <xf numFmtId="0" fontId="63" fillId="29" borderId="38" xfId="0" applyFont="1" applyFill="1" applyBorder="1" applyAlignment="1">
      <alignment horizontal="left" vertical="center" indent="1"/>
    </xf>
    <xf numFmtId="0" fontId="63" fillId="29" borderId="45" xfId="0" applyFont="1" applyFill="1" applyBorder="1" applyAlignment="1">
      <alignment horizontal="left" vertical="center" indent="1"/>
    </xf>
    <xf numFmtId="0" fontId="83" fillId="0" borderId="105" xfId="0" applyFont="1" applyFill="1" applyBorder="1" applyAlignment="1">
      <alignment horizontal="left" vertical="center" wrapText="1"/>
    </xf>
    <xf numFmtId="173" fontId="83" fillId="38" borderId="105" xfId="0" applyNumberFormat="1" applyFont="1" applyFill="1" applyBorder="1" applyAlignment="1">
      <alignment horizontal="center" vertical="center" wrapText="1"/>
    </xf>
    <xf numFmtId="0" fontId="104" fillId="0" borderId="0" xfId="0" applyFont="1" applyFill="1" applyBorder="1" applyAlignment="1">
      <alignment vertical="center"/>
    </xf>
    <xf numFmtId="0" fontId="105" fillId="0" borderId="0" xfId="0" applyFont="1" applyFill="1" applyBorder="1" applyAlignment="1">
      <alignment vertical="center"/>
    </xf>
    <xf numFmtId="0" fontId="63" fillId="29" borderId="47" xfId="0" applyFont="1" applyFill="1" applyBorder="1" applyAlignment="1">
      <alignment horizontal="left" vertical="center" indent="1"/>
    </xf>
    <xf numFmtId="0" fontId="106" fillId="44" borderId="0" xfId="0" applyFont="1" applyFill="1" applyBorder="1" applyAlignment="1">
      <alignment vertical="center"/>
    </xf>
    <xf numFmtId="0" fontId="57" fillId="45" borderId="76" xfId="0" applyFont="1" applyFill="1" applyBorder="1" applyAlignment="1">
      <alignment horizontal="left" vertical="center" wrapText="1" indent="1"/>
    </xf>
    <xf numFmtId="0" fontId="83" fillId="0" borderId="51" xfId="0" applyFont="1" applyFill="1" applyBorder="1" applyAlignment="1">
      <alignment horizontal="left" vertical="center" wrapText="1"/>
    </xf>
    <xf numFmtId="0" fontId="83" fillId="45" borderId="51" xfId="0" applyFont="1" applyFill="1" applyBorder="1" applyAlignment="1">
      <alignment horizontal="left" vertical="center" wrapText="1"/>
    </xf>
    <xf numFmtId="0" fontId="57" fillId="45" borderId="57" xfId="0" applyFont="1" applyFill="1" applyBorder="1" applyAlignment="1">
      <alignment horizontal="left" vertical="center" wrapText="1"/>
    </xf>
    <xf numFmtId="173" fontId="0" fillId="0" borderId="76" xfId="0" applyNumberFormat="1" applyBorder="1" applyAlignment="1">
      <alignment horizontal="center"/>
    </xf>
    <xf numFmtId="173" fontId="80" fillId="0" borderId="11" xfId="0" applyNumberFormat="1" applyFont="1" applyFill="1" applyBorder="1" applyAlignment="1">
      <alignment horizontal="center"/>
    </xf>
    <xf numFmtId="173" fontId="107" fillId="43" borderId="11" xfId="0" applyNumberFormat="1" applyFont="1" applyFill="1" applyBorder="1" applyAlignment="1">
      <alignment horizontal="center"/>
    </xf>
    <xf numFmtId="175" fontId="0" fillId="0" borderId="11" xfId="0" applyNumberFormat="1" applyFill="1" applyBorder="1" applyAlignment="1">
      <alignment horizontal="center"/>
    </xf>
    <xf numFmtId="0" fontId="57" fillId="0" borderId="0" xfId="0" applyFont="1" applyAlignment="1">
      <alignment vertical="center"/>
    </xf>
    <xf numFmtId="0" fontId="57" fillId="0" borderId="0" xfId="0" applyFont="1" applyFill="1" applyBorder="1" applyAlignment="1">
      <alignment vertical="center"/>
    </xf>
    <xf numFmtId="173" fontId="57" fillId="0" borderId="0" xfId="0" applyNumberFormat="1" applyFont="1" applyFill="1" applyBorder="1" applyAlignment="1">
      <alignment horizontal="center"/>
    </xf>
    <xf numFmtId="173" fontId="0" fillId="0" borderId="76" xfId="0" applyNumberFormat="1" applyFill="1" applyBorder="1" applyAlignment="1">
      <alignment horizontal="center"/>
    </xf>
    <xf numFmtId="175" fontId="0" fillId="0" borderId="0" xfId="0" applyNumberFormat="1" applyAlignment="1">
      <alignment horizontal="center"/>
    </xf>
    <xf numFmtId="175" fontId="0" fillId="0" borderId="0" xfId="0" applyNumberFormat="1" applyBorder="1" applyAlignment="1">
      <alignment horizontal="center"/>
    </xf>
    <xf numFmtId="175" fontId="0" fillId="0" borderId="60" xfId="0" applyNumberFormat="1" applyBorder="1" applyAlignment="1">
      <alignment horizontal="center"/>
    </xf>
    <xf numFmtId="175" fontId="0" fillId="0" borderId="11" xfId="0" applyNumberFormat="1" applyFont="1" applyFill="1" applyBorder="1" applyAlignment="1">
      <alignment horizontal="center"/>
    </xf>
    <xf numFmtId="38" fontId="109" fillId="32" borderId="0" xfId="0" applyNumberFormat="1" applyFont="1" applyFill="1"/>
    <xf numFmtId="38" fontId="109" fillId="32" borderId="0" xfId="0" applyNumberFormat="1" applyFont="1" applyFill="1" applyAlignment="1">
      <alignment horizontal="center"/>
    </xf>
    <xf numFmtId="38" fontId="92" fillId="0" borderId="0" xfId="0" applyNumberFormat="1" applyFont="1"/>
    <xf numFmtId="0" fontId="86" fillId="0" borderId="108" xfId="0" applyFont="1" applyFill="1" applyBorder="1" applyAlignment="1">
      <alignment horizontal="center"/>
    </xf>
    <xf numFmtId="0" fontId="96" fillId="0" borderId="109" xfId="0" applyFont="1" applyFill="1" applyBorder="1" applyAlignment="1">
      <alignment horizontal="center"/>
    </xf>
    <xf numFmtId="0" fontId="0" fillId="41" borderId="110" xfId="0" applyFill="1" applyBorder="1"/>
    <xf numFmtId="0" fontId="97" fillId="41" borderId="111" xfId="0" applyFont="1" applyFill="1" applyBorder="1"/>
    <xf numFmtId="0" fontId="0" fillId="0" borderId="108" xfId="0" applyBorder="1"/>
    <xf numFmtId="0" fontId="97" fillId="0" borderId="109" xfId="0" applyFont="1" applyBorder="1"/>
    <xf numFmtId="38" fontId="83" fillId="0" borderId="112" xfId="0" applyNumberFormat="1" applyFont="1" applyBorder="1" applyAlignment="1">
      <alignment vertical="center"/>
    </xf>
    <xf numFmtId="38" fontId="98" fillId="0" borderId="113" xfId="0" applyNumberFormat="1" applyFont="1" applyBorder="1" applyAlignment="1">
      <alignment vertical="center"/>
    </xf>
    <xf numFmtId="37" fontId="84" fillId="42" borderId="64" xfId="0" applyNumberFormat="1" applyFont="1" applyFill="1" applyBorder="1"/>
    <xf numFmtId="37" fontId="73" fillId="42" borderId="29" xfId="0" applyNumberFormat="1" applyFont="1" applyFill="1" applyBorder="1"/>
    <xf numFmtId="37" fontId="73" fillId="40" borderId="114" xfId="0" applyNumberFormat="1" applyFont="1" applyFill="1" applyBorder="1"/>
    <xf numFmtId="37" fontId="73" fillId="40" borderId="115" xfId="0" applyNumberFormat="1" applyFont="1" applyFill="1" applyBorder="1"/>
    <xf numFmtId="38" fontId="90" fillId="0" borderId="108" xfId="0" applyNumberFormat="1" applyFont="1" applyBorder="1"/>
    <xf numFmtId="37" fontId="83" fillId="0" borderId="112" xfId="0" applyNumberFormat="1" applyFont="1" applyBorder="1" applyAlignment="1">
      <alignment vertical="center"/>
    </xf>
    <xf numFmtId="37" fontId="98" fillId="0" borderId="113" xfId="0" applyNumberFormat="1" applyFont="1" applyBorder="1" applyAlignment="1">
      <alignment vertical="center"/>
    </xf>
    <xf numFmtId="37" fontId="99" fillId="0" borderId="113" xfId="0" applyNumberFormat="1" applyFont="1" applyBorder="1" applyAlignment="1">
      <alignment vertical="center"/>
    </xf>
    <xf numFmtId="37" fontId="73" fillId="40" borderId="64" xfId="0" applyNumberFormat="1" applyFont="1" applyFill="1" applyBorder="1"/>
    <xf numFmtId="37" fontId="73" fillId="40" borderId="29" xfId="0" applyNumberFormat="1" applyFont="1" applyFill="1" applyBorder="1"/>
    <xf numFmtId="0" fontId="58" fillId="0" borderId="108" xfId="0" applyFont="1" applyFill="1" applyBorder="1" applyAlignment="1">
      <alignment horizontal="center"/>
    </xf>
    <xf numFmtId="0" fontId="0" fillId="41" borderId="110" xfId="0" applyFont="1" applyFill="1" applyBorder="1"/>
    <xf numFmtId="0" fontId="0" fillId="0" borderId="108" xfId="0" applyFont="1" applyBorder="1"/>
    <xf numFmtId="38" fontId="83" fillId="0" borderId="108" xfId="0" applyNumberFormat="1" applyFont="1" applyBorder="1"/>
    <xf numFmtId="37" fontId="84" fillId="42" borderId="76" xfId="0" applyNumberFormat="1" applyFont="1" applyFill="1" applyBorder="1" applyAlignment="1">
      <alignment vertical="center" wrapText="1"/>
    </xf>
    <xf numFmtId="37" fontId="86" fillId="0" borderId="0" xfId="0" applyNumberFormat="1" applyFont="1" applyFill="1" applyBorder="1" applyAlignment="1">
      <alignment horizontal="center" wrapText="1"/>
    </xf>
    <xf numFmtId="37" fontId="59" fillId="41" borderId="5" xfId="0" applyNumberFormat="1" applyFont="1" applyFill="1" applyBorder="1" applyAlignment="1">
      <alignment vertical="center" wrapText="1"/>
    </xf>
    <xf numFmtId="37" fontId="83" fillId="0" borderId="66" xfId="0" applyNumberFormat="1" applyFont="1" applyBorder="1" applyAlignment="1">
      <alignment vertical="center" wrapText="1"/>
    </xf>
    <xf numFmtId="0" fontId="75" fillId="0" borderId="0" xfId="0" applyFont="1"/>
    <xf numFmtId="37" fontId="57" fillId="0" borderId="0" xfId="0" applyNumberFormat="1" applyFont="1" applyAlignment="1">
      <alignment horizontal="center"/>
    </xf>
    <xf numFmtId="10" fontId="57" fillId="0" borderId="0" xfId="0" applyNumberFormat="1" applyFont="1" applyAlignment="1">
      <alignment horizontal="center"/>
    </xf>
    <xf numFmtId="0" fontId="57" fillId="40" borderId="0" xfId="0" applyFont="1" applyFill="1"/>
    <xf numFmtId="5" fontId="57" fillId="40" borderId="0" xfId="0" applyNumberFormat="1" applyFont="1" applyFill="1"/>
    <xf numFmtId="10" fontId="57" fillId="40" borderId="0" xfId="0" applyNumberFormat="1" applyFont="1" applyFill="1"/>
    <xf numFmtId="0" fontId="57" fillId="0" borderId="0" xfId="0" applyFont="1" applyFill="1"/>
    <xf numFmtId="5" fontId="57" fillId="0" borderId="0" xfId="0" applyNumberFormat="1" applyFont="1" applyFill="1"/>
    <xf numFmtId="10" fontId="57" fillId="0" borderId="0" xfId="0" applyNumberFormat="1" applyFont="1" applyFill="1"/>
    <xf numFmtId="37" fontId="0" fillId="0" borderId="0" xfId="0" applyNumberFormat="1"/>
    <xf numFmtId="10" fontId="0" fillId="0" borderId="0" xfId="0" applyNumberFormat="1"/>
    <xf numFmtId="0" fontId="57" fillId="50" borderId="0" xfId="0" applyFont="1" applyFill="1"/>
    <xf numFmtId="5" fontId="57" fillId="50" borderId="0" xfId="0" applyNumberFormat="1" applyFont="1" applyFill="1"/>
    <xf numFmtId="0" fontId="0" fillId="0" borderId="0" xfId="0" applyAlignment="1">
      <alignment horizontal="center" vertical="center"/>
    </xf>
    <xf numFmtId="0" fontId="111" fillId="0" borderId="51" xfId="1038" applyFont="1" applyFill="1" applyBorder="1" applyAlignment="1" applyProtection="1">
      <alignment horizontal="left" vertical="center"/>
    </xf>
    <xf numFmtId="0" fontId="0" fillId="38" borderId="44" xfId="0" applyFill="1" applyBorder="1" applyAlignment="1">
      <alignment vertical="top"/>
    </xf>
    <xf numFmtId="0" fontId="110" fillId="0" borderId="0" xfId="0" applyFont="1"/>
    <xf numFmtId="0" fontId="0" fillId="0" borderId="0" xfId="0" applyAlignment="1">
      <alignment vertical="center" wrapText="1"/>
    </xf>
    <xf numFmtId="0" fontId="75" fillId="0" borderId="0" xfId="0" applyFont="1" applyBorder="1" applyAlignment="1">
      <alignment vertical="center"/>
    </xf>
    <xf numFmtId="0" fontId="0" fillId="0" borderId="51" xfId="0" applyNumberFormat="1" applyBorder="1" applyAlignment="1">
      <alignment horizontal="center" vertical="center" wrapText="1"/>
    </xf>
    <xf numFmtId="0" fontId="0" fillId="0" borderId="0" xfId="0" applyAlignment="1">
      <alignment horizontal="left" vertical="center" wrapText="1"/>
    </xf>
    <xf numFmtId="0" fontId="80" fillId="0" borderId="51" xfId="0" applyNumberFormat="1" applyFont="1" applyFill="1" applyBorder="1" applyAlignment="1">
      <alignment horizontal="center" vertical="center" wrapText="1"/>
    </xf>
    <xf numFmtId="0" fontId="80" fillId="0" borderId="0" xfId="0" applyFont="1" applyFill="1" applyBorder="1" applyAlignment="1">
      <alignment horizontal="center" vertical="center" wrapText="1"/>
    </xf>
    <xf numFmtId="173" fontId="80" fillId="0" borderId="51" xfId="0" applyNumberFormat="1" applyFont="1" applyFill="1" applyBorder="1" applyAlignment="1">
      <alignment horizontal="center" vertical="center" wrapText="1"/>
    </xf>
    <xf numFmtId="0" fontId="80" fillId="0" borderId="51" xfId="428" applyNumberFormat="1" applyFont="1" applyFill="1" applyBorder="1" applyAlignment="1">
      <alignment horizontal="center" vertical="center" wrapText="1"/>
    </xf>
    <xf numFmtId="0" fontId="80" fillId="0" borderId="0" xfId="428" applyNumberFormat="1" applyFont="1" applyFill="1" applyBorder="1" applyAlignment="1">
      <alignment horizontal="center" vertical="center" wrapText="1"/>
    </xf>
    <xf numFmtId="0" fontId="55" fillId="51" borderId="22" xfId="0" applyFont="1" applyFill="1" applyBorder="1"/>
    <xf numFmtId="0" fontId="56" fillId="51" borderId="5" xfId="0" applyFont="1" applyFill="1" applyBorder="1"/>
    <xf numFmtId="0" fontId="55" fillId="51" borderId="5" xfId="0" applyFont="1" applyFill="1" applyBorder="1"/>
    <xf numFmtId="0" fontId="55" fillId="51" borderId="62" xfId="0" applyFont="1" applyFill="1" applyBorder="1"/>
    <xf numFmtId="0" fontId="0" fillId="0" borderId="22" xfId="0" applyFill="1" applyBorder="1"/>
    <xf numFmtId="0" fontId="57" fillId="0" borderId="5" xfId="0" applyFont="1" applyFill="1" applyBorder="1"/>
    <xf numFmtId="4" fontId="57" fillId="0" borderId="5" xfId="0" applyNumberFormat="1" applyFont="1" applyFill="1" applyBorder="1"/>
    <xf numFmtId="0" fontId="0" fillId="0" borderId="62" xfId="0" applyFill="1" applyBorder="1"/>
    <xf numFmtId="0" fontId="0" fillId="0" borderId="25" xfId="0" applyFill="1" applyBorder="1" applyAlignment="1">
      <alignment vertical="center" wrapText="1"/>
    </xf>
    <xf numFmtId="9" fontId="0" fillId="0" borderId="0" xfId="0" applyNumberFormat="1" applyBorder="1"/>
    <xf numFmtId="4" fontId="0" fillId="0" borderId="0" xfId="0" applyNumberFormat="1" applyBorder="1"/>
    <xf numFmtId="0" fontId="0" fillId="0" borderId="10" xfId="0" applyBorder="1"/>
    <xf numFmtId="0" fontId="0" fillId="0" borderId="25" xfId="0" applyFill="1" applyBorder="1" applyAlignment="1">
      <alignment horizontal="left" vertical="center" wrapText="1"/>
    </xf>
    <xf numFmtId="0" fontId="57" fillId="0" borderId="0" xfId="0" applyFont="1" applyBorder="1"/>
    <xf numFmtId="0" fontId="0" fillId="30" borderId="11" xfId="0" applyFill="1" applyBorder="1"/>
    <xf numFmtId="0" fontId="0" fillId="30" borderId="64" xfId="0" applyFill="1" applyBorder="1"/>
    <xf numFmtId="9" fontId="0" fillId="30" borderId="29" xfId="0" applyNumberFormat="1" applyFill="1" applyBorder="1"/>
    <xf numFmtId="9" fontId="0" fillId="30" borderId="11" xfId="0" applyNumberFormat="1" applyFill="1" applyBorder="1" applyAlignment="1">
      <alignment horizontal="center"/>
    </xf>
    <xf numFmtId="0" fontId="0" fillId="30" borderId="11" xfId="0" applyFill="1" applyBorder="1" applyAlignment="1">
      <alignment vertical="center"/>
    </xf>
    <xf numFmtId="9" fontId="0" fillId="30" borderId="11" xfId="0" applyNumberFormat="1" applyFill="1" applyBorder="1" applyAlignment="1">
      <alignment horizontal="center" vertical="center"/>
    </xf>
    <xf numFmtId="0" fontId="110" fillId="0" borderId="0" xfId="0" applyFont="1" applyBorder="1"/>
    <xf numFmtId="0" fontId="0" fillId="0" borderId="0" xfId="0" applyFont="1" applyBorder="1"/>
    <xf numFmtId="15" fontId="0" fillId="0" borderId="0" xfId="0" quotePrefix="1" applyNumberFormat="1" applyAlignment="1">
      <alignment horizontal="left" vertical="center" wrapText="1"/>
    </xf>
    <xf numFmtId="0" fontId="0" fillId="0" borderId="10" xfId="0" applyFill="1" applyBorder="1"/>
    <xf numFmtId="0" fontId="0" fillId="0" borderId="93" xfId="0" applyFill="1" applyBorder="1" applyAlignment="1">
      <alignment horizontal="left" vertical="center" wrapText="1"/>
    </xf>
    <xf numFmtId="0" fontId="0" fillId="0" borderId="17" xfId="0" applyBorder="1"/>
    <xf numFmtId="0" fontId="0" fillId="0" borderId="94" xfId="0" applyBorder="1"/>
    <xf numFmtId="0" fontId="0" fillId="0" borderId="0" xfId="0" applyFill="1" applyAlignment="1">
      <alignment horizontal="left" vertical="center" wrapText="1"/>
    </xf>
    <xf numFmtId="4" fontId="0" fillId="0" borderId="0" xfId="0" applyNumberFormat="1"/>
    <xf numFmtId="10" fontId="107" fillId="0" borderId="0" xfId="878" applyNumberFormat="1" applyFont="1" applyAlignment="1">
      <alignment horizontal="center"/>
    </xf>
    <xf numFmtId="4" fontId="0" fillId="0" borderId="0" xfId="0" applyNumberFormat="1" applyAlignment="1">
      <alignment horizontal="center"/>
    </xf>
    <xf numFmtId="3" fontId="0" fillId="0" borderId="0" xfId="0" applyNumberFormat="1"/>
    <xf numFmtId="3" fontId="55" fillId="52" borderId="62" xfId="0" applyNumberFormat="1" applyFont="1" applyFill="1" applyBorder="1" applyAlignment="1">
      <alignment horizontal="center"/>
    </xf>
    <xf numFmtId="0" fontId="55" fillId="52" borderId="22" xfId="0" applyFont="1" applyFill="1" applyBorder="1"/>
    <xf numFmtId="3" fontId="0" fillId="0" borderId="0" xfId="0" applyNumberFormat="1" applyAlignment="1">
      <alignment horizontal="center"/>
    </xf>
    <xf numFmtId="10" fontId="80" fillId="0" borderId="0" xfId="878" applyNumberFormat="1" applyFont="1" applyAlignment="1">
      <alignment horizontal="center"/>
    </xf>
    <xf numFmtId="4" fontId="60" fillId="0" borderId="0" xfId="0" applyNumberFormat="1" applyFont="1" applyFill="1" applyAlignment="1">
      <alignment horizontal="center"/>
    </xf>
    <xf numFmtId="0" fontId="55" fillId="53" borderId="0" xfId="0" applyFont="1" applyFill="1" applyAlignment="1">
      <alignment horizontal="center"/>
    </xf>
    <xf numFmtId="0" fontId="0" fillId="47" borderId="0" xfId="0" applyFill="1" applyAlignment="1">
      <alignment horizontal="center"/>
    </xf>
    <xf numFmtId="0" fontId="0" fillId="54" borderId="0" xfId="0" applyFill="1" applyAlignment="1">
      <alignment horizontal="center"/>
    </xf>
    <xf numFmtId="0" fontId="55" fillId="29" borderId="0" xfId="0" applyFont="1" applyFill="1" applyAlignment="1">
      <alignment horizontal="center"/>
    </xf>
    <xf numFmtId="0" fontId="55" fillId="55" borderId="0" xfId="0" applyFont="1" applyFill="1" applyAlignment="1">
      <alignment horizontal="center"/>
    </xf>
    <xf numFmtId="0" fontId="60" fillId="40" borderId="0" xfId="0" applyFont="1" applyFill="1" applyAlignment="1">
      <alignment horizontal="center"/>
    </xf>
    <xf numFmtId="0" fontId="0" fillId="56" borderId="0" xfId="0" applyFill="1" applyAlignment="1">
      <alignment horizontal="center"/>
    </xf>
    <xf numFmtId="0" fontId="0" fillId="45" borderId="0" xfId="0" applyFill="1"/>
    <xf numFmtId="0" fontId="0" fillId="30" borderId="0" xfId="0" applyFill="1" applyAlignment="1">
      <alignment horizontal="center"/>
    </xf>
    <xf numFmtId="0" fontId="0" fillId="57" borderId="0" xfId="0" applyFill="1" applyAlignment="1">
      <alignment horizontal="center"/>
    </xf>
    <xf numFmtId="0" fontId="55" fillId="52" borderId="23" xfId="0" applyFont="1" applyFill="1" applyBorder="1"/>
    <xf numFmtId="0" fontId="0" fillId="43" borderId="0" xfId="0" applyFill="1" applyAlignment="1">
      <alignment horizontal="center"/>
    </xf>
    <xf numFmtId="0" fontId="112" fillId="54" borderId="23" xfId="0" applyFont="1" applyFill="1" applyBorder="1" applyAlignment="1">
      <alignment horizontal="left"/>
    </xf>
    <xf numFmtId="0" fontId="55" fillId="58" borderId="23" xfId="0" applyFont="1" applyFill="1" applyBorder="1"/>
    <xf numFmtId="0" fontId="0" fillId="46" borderId="0" xfId="0" applyFill="1" applyAlignment="1">
      <alignment horizontal="center"/>
    </xf>
    <xf numFmtId="3" fontId="0" fillId="0" borderId="0" xfId="0" applyNumberFormat="1" applyFill="1" applyAlignment="1">
      <alignment horizontal="center"/>
    </xf>
    <xf numFmtId="0" fontId="55" fillId="59" borderId="23" xfId="0" applyFont="1" applyFill="1" applyBorder="1"/>
    <xf numFmtId="0" fontId="0" fillId="60" borderId="0" xfId="0" applyFill="1" applyAlignment="1">
      <alignment horizontal="center"/>
    </xf>
    <xf numFmtId="4" fontId="54" fillId="0" borderId="0" xfId="330" applyNumberFormat="1" applyFont="1" applyAlignment="1">
      <alignment horizontal="center"/>
    </xf>
    <xf numFmtId="0" fontId="55" fillId="55" borderId="23" xfId="0" applyFont="1" applyFill="1" applyBorder="1"/>
    <xf numFmtId="0" fontId="55" fillId="61" borderId="23" xfId="0" applyFont="1" applyFill="1" applyBorder="1"/>
    <xf numFmtId="0" fontId="0" fillId="0" borderId="11" xfId="0" applyBorder="1" applyAlignment="1">
      <alignment horizontal="center"/>
    </xf>
    <xf numFmtId="4" fontId="0" fillId="0" borderId="11" xfId="0" applyNumberFormat="1" applyBorder="1" applyAlignment="1">
      <alignment horizontal="center" wrapText="1"/>
    </xf>
    <xf numFmtId="0" fontId="0" fillId="0" borderId="116" xfId="0" applyBorder="1"/>
    <xf numFmtId="4" fontId="0" fillId="0" borderId="0" xfId="0" applyNumberFormat="1" applyAlignment="1">
      <alignment horizontal="right"/>
    </xf>
    <xf numFmtId="0" fontId="55" fillId="31" borderId="0" xfId="0" applyFont="1" applyFill="1" applyAlignment="1">
      <alignment horizontal="center"/>
    </xf>
    <xf numFmtId="0" fontId="0" fillId="0" borderId="0" xfId="0" applyAlignment="1">
      <alignment horizontal="right"/>
    </xf>
    <xf numFmtId="0" fontId="0" fillId="0" borderId="0" xfId="0" applyNumberFormat="1" applyAlignment="1">
      <alignment horizontal="right"/>
    </xf>
    <xf numFmtId="39" fontId="54" fillId="0" borderId="0" xfId="330" applyNumberFormat="1" applyFont="1" applyAlignment="1">
      <alignment horizontal="center" vertical="center"/>
    </xf>
    <xf numFmtId="39" fontId="54" fillId="0" borderId="0" xfId="330" applyNumberFormat="1" applyFont="1" applyAlignment="1">
      <alignment horizontal="center"/>
    </xf>
    <xf numFmtId="0" fontId="0" fillId="0" borderId="119" xfId="0" applyBorder="1" applyAlignment="1">
      <alignment horizontal="center"/>
    </xf>
    <xf numFmtId="4" fontId="0" fillId="0" borderId="21" xfId="0" applyNumberFormat="1" applyBorder="1" applyAlignment="1">
      <alignment horizontal="center"/>
    </xf>
    <xf numFmtId="4" fontId="0" fillId="0" borderId="120" xfId="0" applyNumberFormat="1" applyBorder="1" applyAlignment="1">
      <alignment horizontal="center"/>
    </xf>
    <xf numFmtId="0" fontId="0" fillId="50" borderId="0" xfId="0" applyFill="1"/>
    <xf numFmtId="0" fontId="0" fillId="54" borderId="0" xfId="0" applyFill="1"/>
    <xf numFmtId="3" fontId="0" fillId="54" borderId="0" xfId="0" applyNumberFormat="1" applyFill="1"/>
    <xf numFmtId="3" fontId="57" fillId="54" borderId="0" xfId="0" applyNumberFormat="1" applyFont="1" applyFill="1"/>
    <xf numFmtId="3" fontId="112" fillId="54" borderId="16" xfId="330" applyNumberFormat="1" applyFont="1" applyFill="1" applyBorder="1"/>
    <xf numFmtId="0" fontId="57" fillId="54" borderId="0" xfId="0" applyFont="1" applyFill="1"/>
    <xf numFmtId="0" fontId="0" fillId="62" borderId="0" xfId="0" applyFill="1"/>
    <xf numFmtId="3" fontId="112" fillId="54" borderId="0" xfId="0" applyNumberFormat="1" applyFont="1" applyFill="1"/>
    <xf numFmtId="3" fontId="112" fillId="54" borderId="16" xfId="0" applyNumberFormat="1" applyFont="1" applyFill="1" applyBorder="1"/>
    <xf numFmtId="0" fontId="57" fillId="63" borderId="0" xfId="0" applyFont="1" applyFill="1"/>
    <xf numFmtId="3" fontId="57" fillId="63" borderId="0" xfId="0" applyNumberFormat="1" applyFont="1" applyFill="1"/>
    <xf numFmtId="3" fontId="57" fillId="63" borderId="0" xfId="330" applyNumberFormat="1" applyFont="1" applyFill="1"/>
    <xf numFmtId="3" fontId="0" fillId="0" borderId="0" xfId="330" applyNumberFormat="1" applyFont="1"/>
    <xf numFmtId="3" fontId="57" fillId="54" borderId="0" xfId="330" applyNumberFormat="1" applyFont="1" applyFill="1"/>
    <xf numFmtId="3" fontId="0" fillId="0" borderId="60" xfId="0" applyNumberFormat="1" applyBorder="1"/>
    <xf numFmtId="3" fontId="0" fillId="0" borderId="60" xfId="330" applyNumberFormat="1" applyFont="1" applyBorder="1"/>
    <xf numFmtId="0" fontId="57" fillId="44" borderId="0" xfId="0" applyFont="1" applyFill="1"/>
    <xf numFmtId="0" fontId="57" fillId="64" borderId="0" xfId="0" applyFont="1" applyFill="1"/>
    <xf numFmtId="3" fontId="57" fillId="64" borderId="0" xfId="0" applyNumberFormat="1" applyFont="1" applyFill="1"/>
    <xf numFmtId="3" fontId="57" fillId="64" borderId="0" xfId="330" applyNumberFormat="1" applyFont="1" applyFill="1"/>
    <xf numFmtId="0" fontId="0" fillId="44" borderId="0" xfId="0" applyFill="1"/>
    <xf numFmtId="0" fontId="0" fillId="64" borderId="0" xfId="0" applyFill="1"/>
    <xf numFmtId="3" fontId="0" fillId="64" borderId="0" xfId="0" applyNumberFormat="1" applyFill="1"/>
    <xf numFmtId="0" fontId="57" fillId="46" borderId="0" xfId="0" applyFont="1" applyFill="1"/>
    <xf numFmtId="3" fontId="0" fillId="0" borderId="0" xfId="330" applyNumberFormat="1" applyFont="1" applyBorder="1"/>
    <xf numFmtId="0" fontId="0" fillId="46" borderId="0" xfId="0" applyFill="1"/>
    <xf numFmtId="0" fontId="108" fillId="0" borderId="0" xfId="0" applyFont="1"/>
    <xf numFmtId="0" fontId="0" fillId="40" borderId="11" xfId="0" applyFill="1" applyBorder="1"/>
    <xf numFmtId="3" fontId="0" fillId="40" borderId="11" xfId="0" applyNumberFormat="1" applyFill="1" applyBorder="1"/>
    <xf numFmtId="3" fontId="0" fillId="40" borderId="11" xfId="330" applyNumberFormat="1" applyFont="1" applyFill="1" applyBorder="1"/>
    <xf numFmtId="0" fontId="0" fillId="0" borderId="28" xfId="0" applyBorder="1"/>
    <xf numFmtId="0" fontId="108" fillId="0" borderId="25" xfId="0" applyFont="1" applyBorder="1"/>
    <xf numFmtId="0" fontId="108" fillId="0" borderId="0" xfId="0" applyFont="1" applyBorder="1"/>
    <xf numFmtId="0" fontId="108" fillId="0" borderId="0" xfId="0" applyFont="1" applyBorder="1" applyAlignment="1">
      <alignment horizontal="center"/>
    </xf>
    <xf numFmtId="0" fontId="108" fillId="0" borderId="0" xfId="0" quotePrefix="1" applyFont="1" applyBorder="1" applyAlignment="1">
      <alignment horizontal="center"/>
    </xf>
    <xf numFmtId="0" fontId="108" fillId="0" borderId="10" xfId="0" applyFont="1" applyBorder="1" applyAlignment="1">
      <alignment horizontal="center"/>
    </xf>
    <xf numFmtId="0" fontId="110" fillId="64" borderId="25" xfId="0" applyFont="1" applyFill="1" applyBorder="1"/>
    <xf numFmtId="0" fontId="0" fillId="64" borderId="0" xfId="0" applyFill="1" applyBorder="1"/>
    <xf numFmtId="43" fontId="0" fillId="64" borderId="0" xfId="0" applyNumberFormat="1" applyFill="1" applyBorder="1"/>
    <xf numFmtId="0" fontId="0" fillId="64" borderId="10" xfId="0" applyFill="1" applyBorder="1"/>
    <xf numFmtId="3" fontId="0" fillId="0" borderId="10" xfId="330" applyNumberFormat="1" applyFont="1" applyBorder="1"/>
    <xf numFmtId="0" fontId="0" fillId="40" borderId="30" xfId="0" applyFill="1" applyBorder="1"/>
    <xf numFmtId="3" fontId="0" fillId="40" borderId="33" xfId="330" applyNumberFormat="1" applyFont="1" applyFill="1" applyBorder="1"/>
    <xf numFmtId="3" fontId="0" fillId="0" borderId="0" xfId="330" applyNumberFormat="1" applyFont="1" applyBorder="1" applyAlignment="1">
      <alignment horizontal="center"/>
    </xf>
    <xf numFmtId="3" fontId="0" fillId="0" borderId="10" xfId="330" applyNumberFormat="1" applyFont="1" applyFill="1" applyBorder="1"/>
    <xf numFmtId="0" fontId="57" fillId="64" borderId="25" xfId="0" applyFont="1" applyFill="1" applyBorder="1"/>
    <xf numFmtId="0" fontId="57" fillId="64" borderId="0" xfId="0" applyFont="1" applyFill="1" applyBorder="1"/>
    <xf numFmtId="3" fontId="57" fillId="64" borderId="0" xfId="0" applyNumberFormat="1" applyFont="1" applyFill="1" applyBorder="1"/>
    <xf numFmtId="3" fontId="57" fillId="64" borderId="10" xfId="0" applyNumberFormat="1" applyFont="1" applyFill="1" applyBorder="1"/>
    <xf numFmtId="3" fontId="0" fillId="0" borderId="10" xfId="0" applyNumberFormat="1" applyBorder="1"/>
    <xf numFmtId="3" fontId="0" fillId="64" borderId="0" xfId="0" applyNumberFormat="1" applyFill="1" applyBorder="1"/>
    <xf numFmtId="3" fontId="0" fillId="64" borderId="10" xfId="0" applyNumberFormat="1" applyFill="1" applyBorder="1"/>
    <xf numFmtId="43" fontId="0" fillId="0" borderId="0" xfId="330" applyFont="1" applyBorder="1"/>
    <xf numFmtId="43" fontId="0" fillId="0" borderId="25" xfId="330" applyFont="1" applyBorder="1" applyAlignment="1"/>
    <xf numFmtId="3" fontId="0" fillId="0" borderId="122" xfId="0" applyNumberFormat="1" applyBorder="1"/>
    <xf numFmtId="43" fontId="57" fillId="64" borderId="0" xfId="330" applyFont="1" applyFill="1" applyBorder="1"/>
    <xf numFmtId="3" fontId="57" fillId="64" borderId="0" xfId="330" applyNumberFormat="1" applyFont="1" applyFill="1" applyBorder="1"/>
    <xf numFmtId="3" fontId="57" fillId="64" borderId="10" xfId="330" applyNumberFormat="1" applyFont="1" applyFill="1" applyBorder="1"/>
    <xf numFmtId="0" fontId="57" fillId="54" borderId="25" xfId="0" applyFont="1" applyFill="1" applyBorder="1"/>
    <xf numFmtId="0" fontId="57" fillId="54" borderId="0" xfId="0" applyFont="1" applyFill="1" applyBorder="1"/>
    <xf numFmtId="43" fontId="57" fillId="54" borderId="0" xfId="330" applyFont="1" applyFill="1" applyBorder="1"/>
    <xf numFmtId="3" fontId="57" fillId="54" borderId="0" xfId="330" applyNumberFormat="1" applyFont="1" applyFill="1" applyBorder="1"/>
    <xf numFmtId="3" fontId="57" fillId="54" borderId="10" xfId="330" applyNumberFormat="1" applyFont="1" applyFill="1" applyBorder="1"/>
    <xf numFmtId="0" fontId="57" fillId="63" borderId="25" xfId="0" applyFont="1" applyFill="1" applyBorder="1"/>
    <xf numFmtId="0" fontId="57" fillId="63" borderId="0" xfId="0" applyFont="1" applyFill="1" applyBorder="1"/>
    <xf numFmtId="43" fontId="57" fillId="63" borderId="0" xfId="330" applyFont="1" applyFill="1" applyBorder="1"/>
    <xf numFmtId="3" fontId="57" fillId="63" borderId="0" xfId="330" applyNumberFormat="1" applyFont="1" applyFill="1" applyBorder="1"/>
    <xf numFmtId="3" fontId="57" fillId="63" borderId="10" xfId="330" applyNumberFormat="1" applyFont="1" applyFill="1" applyBorder="1"/>
    <xf numFmtId="0" fontId="0" fillId="54" borderId="0" xfId="0" applyFill="1" applyBorder="1"/>
    <xf numFmtId="3" fontId="0" fillId="54" borderId="0" xfId="0" applyNumberFormat="1" applyFill="1" applyBorder="1"/>
    <xf numFmtId="3" fontId="112" fillId="54" borderId="0" xfId="0" applyNumberFormat="1" applyFont="1" applyFill="1" applyBorder="1"/>
    <xf numFmtId="3" fontId="112" fillId="54" borderId="123" xfId="330" applyNumberFormat="1" applyFont="1" applyFill="1" applyBorder="1"/>
    <xf numFmtId="0" fontId="57" fillId="54" borderId="93" xfId="0" applyFont="1" applyFill="1" applyBorder="1"/>
    <xf numFmtId="0" fontId="57" fillId="54" borderId="17" xfId="0" applyFont="1" applyFill="1" applyBorder="1"/>
    <xf numFmtId="3" fontId="57" fillId="54" borderId="17" xfId="0" applyNumberFormat="1" applyFont="1" applyFill="1" applyBorder="1"/>
    <xf numFmtId="3" fontId="0" fillId="54" borderId="17" xfId="0" applyNumberFormat="1" applyFill="1" applyBorder="1"/>
    <xf numFmtId="3" fontId="112" fillId="54" borderId="124" xfId="330" applyNumberFormat="1" applyFont="1" applyFill="1" applyBorder="1"/>
    <xf numFmtId="0" fontId="71" fillId="0" borderId="0" xfId="0" applyFont="1" applyAlignment="1">
      <alignment horizontal="center" wrapText="1"/>
    </xf>
    <xf numFmtId="0" fontId="72" fillId="0" borderId="0" xfId="0" applyFont="1" applyAlignment="1">
      <alignment horizontal="center"/>
    </xf>
    <xf numFmtId="0" fontId="63" fillId="34" borderId="32" xfId="0" applyFont="1" applyFill="1" applyBorder="1" applyAlignment="1">
      <alignment horizontal="center"/>
    </xf>
    <xf numFmtId="0" fontId="63" fillId="34" borderId="35" xfId="0" applyFont="1" applyFill="1" applyBorder="1" applyAlignment="1">
      <alignment horizontal="center"/>
    </xf>
    <xf numFmtId="0" fontId="63" fillId="34" borderId="36" xfId="0" applyFont="1" applyFill="1" applyBorder="1" applyAlignment="1">
      <alignment horizontal="center"/>
    </xf>
    <xf numFmtId="0" fontId="93" fillId="47" borderId="91" xfId="0" applyFont="1" applyFill="1" applyBorder="1" applyAlignment="1">
      <alignment horizontal="center" vertical="center" wrapText="1"/>
    </xf>
    <xf numFmtId="0" fontId="93" fillId="47" borderId="28" xfId="0" applyFont="1" applyFill="1" applyBorder="1" applyAlignment="1">
      <alignment horizontal="center" vertical="center" wrapText="1"/>
    </xf>
    <xf numFmtId="0" fontId="93" fillId="47" borderId="92" xfId="0" applyFont="1" applyFill="1" applyBorder="1" applyAlignment="1">
      <alignment horizontal="center" vertical="center" wrapText="1"/>
    </xf>
    <xf numFmtId="0" fontId="76" fillId="39" borderId="52" xfId="0" applyFont="1" applyFill="1" applyBorder="1" applyAlignment="1">
      <alignment horizontal="center"/>
    </xf>
    <xf numFmtId="0" fontId="76" fillId="39" borderId="53" xfId="0" applyFont="1" applyFill="1" applyBorder="1" applyAlignment="1">
      <alignment horizontal="center"/>
    </xf>
    <xf numFmtId="0" fontId="57" fillId="42" borderId="5" xfId="0" applyFont="1" applyFill="1" applyBorder="1" applyAlignment="1">
      <alignment horizontal="center"/>
    </xf>
    <xf numFmtId="0" fontId="57" fillId="42" borderId="62" xfId="0" applyFont="1" applyFill="1" applyBorder="1" applyAlignment="1">
      <alignment horizontal="center"/>
    </xf>
    <xf numFmtId="0" fontId="0" fillId="0" borderId="17" xfId="0" applyFill="1" applyBorder="1" applyAlignment="1">
      <alignment horizontal="left" wrapText="1"/>
    </xf>
    <xf numFmtId="0" fontId="0" fillId="0" borderId="94" xfId="0" applyFill="1" applyBorder="1" applyAlignment="1">
      <alignment horizontal="left" wrapText="1"/>
    </xf>
    <xf numFmtId="0" fontId="0" fillId="0" borderId="17" xfId="0" applyFill="1" applyBorder="1" applyAlignment="1">
      <alignment horizontal="left"/>
    </xf>
    <xf numFmtId="0" fontId="0" fillId="0" borderId="94" xfId="0" applyFill="1" applyBorder="1" applyAlignment="1">
      <alignment horizontal="left"/>
    </xf>
    <xf numFmtId="0" fontId="63" fillId="37" borderId="22" xfId="0" applyFont="1" applyFill="1" applyBorder="1" applyAlignment="1">
      <alignment horizontal="center"/>
    </xf>
    <xf numFmtId="0" fontId="63" fillId="37" borderId="5" xfId="0" applyFont="1" applyFill="1" applyBorder="1" applyAlignment="1">
      <alignment horizontal="center"/>
    </xf>
    <xf numFmtId="0" fontId="63" fillId="35" borderId="5" xfId="0" applyFont="1" applyFill="1" applyBorder="1" applyAlignment="1">
      <alignment horizontal="center"/>
    </xf>
    <xf numFmtId="0" fontId="63" fillId="36" borderId="5" xfId="0" applyFont="1" applyFill="1" applyBorder="1" applyAlignment="1">
      <alignment horizontal="center"/>
    </xf>
    <xf numFmtId="0" fontId="57" fillId="44" borderId="22" xfId="0" applyFont="1" applyFill="1" applyBorder="1" applyAlignment="1">
      <alignment horizontal="center"/>
    </xf>
    <xf numFmtId="0" fontId="57" fillId="44" borderId="62" xfId="0" applyFont="1" applyFill="1" applyBorder="1" applyAlignment="1">
      <alignment horizontal="center"/>
    </xf>
    <xf numFmtId="0" fontId="83" fillId="0" borderId="72" xfId="0" applyFont="1" applyFill="1" applyBorder="1" applyAlignment="1">
      <alignment horizontal="left" vertical="center" wrapText="1"/>
    </xf>
    <xf numFmtId="0" fontId="83" fillId="0" borderId="51" xfId="0" applyFont="1" applyFill="1" applyBorder="1" applyAlignment="1">
      <alignment horizontal="left" vertical="center" wrapText="1"/>
    </xf>
    <xf numFmtId="173" fontId="83" fillId="0" borderId="51" xfId="0" applyNumberFormat="1" applyFont="1" applyFill="1" applyBorder="1" applyAlignment="1">
      <alignment horizontal="left" vertical="center" wrapText="1"/>
    </xf>
    <xf numFmtId="173" fontId="83" fillId="0" borderId="73" xfId="0" applyNumberFormat="1" applyFont="1" applyFill="1" applyBorder="1" applyAlignment="1">
      <alignment horizontal="left" vertical="center" wrapText="1"/>
    </xf>
    <xf numFmtId="0" fontId="83" fillId="45" borderId="72" xfId="0" applyFont="1" applyFill="1" applyBorder="1" applyAlignment="1">
      <alignment horizontal="left" vertical="center" wrapText="1"/>
    </xf>
    <xf numFmtId="0" fontId="83" fillId="45" borderId="51" xfId="0" applyFont="1" applyFill="1" applyBorder="1" applyAlignment="1">
      <alignment horizontal="left" vertical="center" wrapText="1"/>
    </xf>
    <xf numFmtId="0" fontId="84" fillId="0" borderId="72" xfId="0" applyFont="1" applyFill="1" applyBorder="1" applyAlignment="1">
      <alignment horizontal="left" vertical="center" wrapText="1"/>
    </xf>
    <xf numFmtId="0" fontId="84" fillId="0" borderId="51" xfId="0" applyFont="1" applyFill="1" applyBorder="1" applyAlignment="1">
      <alignment horizontal="left" vertical="center" wrapText="1"/>
    </xf>
    <xf numFmtId="0" fontId="57" fillId="45" borderId="56" xfId="0" applyFont="1" applyFill="1" applyBorder="1" applyAlignment="1">
      <alignment horizontal="left" vertical="center" wrapText="1" indent="1"/>
    </xf>
    <xf numFmtId="0" fontId="57" fillId="45" borderId="57" xfId="0" applyFont="1" applyFill="1" applyBorder="1" applyAlignment="1">
      <alignment horizontal="left" vertical="center" wrapText="1" indent="1"/>
    </xf>
    <xf numFmtId="17" fontId="0" fillId="45" borderId="57" xfId="0" applyNumberFormat="1" applyFont="1" applyFill="1" applyBorder="1" applyAlignment="1">
      <alignment horizontal="center" vertical="center" wrapText="1"/>
    </xf>
    <xf numFmtId="17" fontId="0" fillId="45" borderId="58" xfId="0" applyNumberFormat="1" applyFont="1" applyFill="1" applyBorder="1" applyAlignment="1">
      <alignment horizontal="center" vertical="center" wrapText="1"/>
    </xf>
    <xf numFmtId="5" fontId="83" fillId="45" borderId="57" xfId="0" applyNumberFormat="1" applyFont="1" applyFill="1" applyBorder="1" applyAlignment="1">
      <alignment horizontal="center" vertical="center" wrapText="1"/>
    </xf>
    <xf numFmtId="5" fontId="83" fillId="45" borderId="58" xfId="0" applyNumberFormat="1" applyFont="1" applyFill="1" applyBorder="1" applyAlignment="1">
      <alignment horizontal="center" vertical="center" wrapText="1"/>
    </xf>
    <xf numFmtId="0" fontId="0" fillId="38" borderId="44" xfId="0" applyFill="1" applyBorder="1" applyAlignment="1">
      <alignment horizontal="left" vertical="top" wrapText="1"/>
    </xf>
    <xf numFmtId="0" fontId="0" fillId="38" borderId="0" xfId="0" applyFill="1" applyBorder="1" applyAlignment="1">
      <alignment horizontal="left" vertical="top" wrapText="1"/>
    </xf>
    <xf numFmtId="0" fontId="0" fillId="38" borderId="104" xfId="0" applyFill="1" applyBorder="1" applyAlignment="1">
      <alignment horizontal="left" vertical="top" wrapText="1"/>
    </xf>
    <xf numFmtId="0" fontId="0" fillId="38" borderId="41" xfId="0" applyFill="1" applyBorder="1" applyAlignment="1">
      <alignment horizontal="left" vertical="top" wrapText="1"/>
    </xf>
    <xf numFmtId="0" fontId="0" fillId="38" borderId="42" xfId="0" applyFill="1" applyBorder="1" applyAlignment="1">
      <alignment horizontal="left" vertical="top" wrapText="1"/>
    </xf>
    <xf numFmtId="0" fontId="0" fillId="38" borderId="43" xfId="0" applyFill="1" applyBorder="1" applyAlignment="1">
      <alignment horizontal="left" vertical="top" wrapText="1"/>
    </xf>
    <xf numFmtId="0" fontId="84" fillId="0" borderId="69" xfId="0" applyFont="1" applyFill="1" applyBorder="1" applyAlignment="1">
      <alignment horizontal="left" wrapText="1"/>
    </xf>
    <xf numFmtId="0" fontId="84" fillId="0" borderId="71" xfId="0" applyFont="1" applyFill="1" applyBorder="1" applyAlignment="1">
      <alignment horizontal="left" wrapText="1"/>
    </xf>
    <xf numFmtId="0" fontId="83" fillId="45" borderId="84" xfId="0" applyFont="1" applyFill="1" applyBorder="1" applyAlignment="1">
      <alignment horizontal="left" vertical="center" wrapText="1"/>
    </xf>
    <xf numFmtId="0" fontId="83" fillId="45" borderId="28" xfId="0" applyFont="1" applyFill="1" applyBorder="1" applyAlignment="1">
      <alignment horizontal="left" vertical="center" wrapText="1"/>
    </xf>
    <xf numFmtId="0" fontId="83" fillId="0" borderId="65" xfId="0" applyFont="1" applyBorder="1" applyAlignment="1">
      <alignment horizontal="left" vertical="center" wrapText="1"/>
    </xf>
    <xf numFmtId="0" fontId="83" fillId="0" borderId="90" xfId="0" applyFont="1" applyBorder="1" applyAlignment="1">
      <alignment horizontal="left" vertical="center" wrapText="1"/>
    </xf>
    <xf numFmtId="0" fontId="57" fillId="45" borderId="75" xfId="0" applyFont="1" applyFill="1" applyBorder="1" applyAlignment="1">
      <alignment horizontal="left" vertical="center" wrapText="1" indent="1"/>
    </xf>
    <xf numFmtId="0" fontId="57" fillId="45" borderId="76" xfId="0" applyFont="1" applyFill="1" applyBorder="1" applyAlignment="1">
      <alignment horizontal="left" vertical="center" wrapText="1" indent="1"/>
    </xf>
    <xf numFmtId="17" fontId="0" fillId="45" borderId="76" xfId="0" applyNumberFormat="1" applyFont="1" applyFill="1" applyBorder="1" applyAlignment="1">
      <alignment horizontal="center" vertical="center" wrapText="1"/>
    </xf>
    <xf numFmtId="17" fontId="0" fillId="45" borderId="80" xfId="0" applyNumberFormat="1" applyFont="1" applyFill="1" applyBorder="1" applyAlignment="1">
      <alignment horizontal="center" vertical="center" wrapText="1"/>
    </xf>
    <xf numFmtId="5" fontId="0" fillId="45" borderId="76" xfId="0" applyNumberFormat="1" applyFont="1" applyFill="1" applyBorder="1" applyAlignment="1">
      <alignment horizontal="center" vertical="center" wrapText="1"/>
    </xf>
    <xf numFmtId="5" fontId="0" fillId="45" borderId="80" xfId="0" applyNumberFormat="1" applyFont="1" applyFill="1" applyBorder="1" applyAlignment="1">
      <alignment horizontal="center" vertical="center" wrapText="1"/>
    </xf>
    <xf numFmtId="5" fontId="0" fillId="45" borderId="57" xfId="0" applyNumberFormat="1" applyFont="1" applyFill="1" applyBorder="1" applyAlignment="1">
      <alignment horizontal="center" vertical="center" wrapText="1"/>
    </xf>
    <xf numFmtId="5" fontId="0" fillId="45" borderId="58" xfId="0" applyNumberFormat="1" applyFont="1" applyFill="1" applyBorder="1" applyAlignment="1">
      <alignment horizontal="center" vertical="center" wrapText="1"/>
    </xf>
    <xf numFmtId="0" fontId="57" fillId="45" borderId="59" xfId="0" applyFont="1" applyFill="1" applyBorder="1" applyAlignment="1">
      <alignment horizontal="left" vertical="center" wrapText="1" indent="1"/>
    </xf>
    <xf numFmtId="0" fontId="57" fillId="45" borderId="60" xfId="0" applyFont="1" applyFill="1" applyBorder="1" applyAlignment="1">
      <alignment horizontal="left" vertical="center" wrapText="1" indent="1"/>
    </xf>
    <xf numFmtId="43" fontId="0" fillId="45" borderId="60" xfId="0" applyNumberFormat="1" applyFont="1" applyFill="1" applyBorder="1" applyAlignment="1">
      <alignment horizontal="center" vertical="center" wrapText="1"/>
    </xf>
    <xf numFmtId="43" fontId="0" fillId="45" borderId="61" xfId="0" applyNumberFormat="1" applyFont="1" applyFill="1" applyBorder="1" applyAlignment="1">
      <alignment horizontal="center" vertical="center" wrapText="1"/>
    </xf>
    <xf numFmtId="9" fontId="0" fillId="45" borderId="49" xfId="0" applyNumberFormat="1" applyFont="1" applyFill="1" applyBorder="1" applyAlignment="1">
      <alignment horizontal="center" vertical="center" wrapText="1"/>
    </xf>
    <xf numFmtId="9" fontId="0" fillId="45" borderId="50" xfId="0" applyNumberFormat="1" applyFont="1" applyFill="1" applyBorder="1" applyAlignment="1">
      <alignment horizontal="center" vertical="center" wrapText="1"/>
    </xf>
    <xf numFmtId="0" fontId="57" fillId="45" borderId="56" xfId="0" applyFont="1" applyFill="1" applyBorder="1" applyAlignment="1">
      <alignment horizontal="left" vertical="center" wrapText="1"/>
    </xf>
    <xf numFmtId="0" fontId="57" fillId="45" borderId="57" xfId="0" applyFont="1" applyFill="1" applyBorder="1" applyAlignment="1">
      <alignment horizontal="left" vertical="center" wrapText="1"/>
    </xf>
    <xf numFmtId="0" fontId="0" fillId="45" borderId="83" xfId="0" applyFont="1" applyFill="1" applyBorder="1" applyAlignment="1">
      <alignment horizontal="center" vertical="center" wrapText="1"/>
    </xf>
    <xf numFmtId="0" fontId="0" fillId="45" borderId="67" xfId="0" applyFont="1" applyFill="1" applyBorder="1" applyAlignment="1">
      <alignment horizontal="center" vertical="center" wrapText="1"/>
    </xf>
    <xf numFmtId="0" fontId="57" fillId="45" borderId="89" xfId="0" applyFont="1" applyFill="1" applyBorder="1" applyAlignment="1">
      <alignment horizontal="left" vertical="center" wrapText="1" indent="1"/>
    </xf>
    <xf numFmtId="0" fontId="57" fillId="45" borderId="87" xfId="0" applyFont="1" applyFill="1" applyBorder="1" applyAlignment="1">
      <alignment horizontal="left" vertical="center" wrapText="1" indent="1"/>
    </xf>
    <xf numFmtId="5" fontId="0" fillId="45" borderId="87" xfId="0" applyNumberFormat="1" applyFont="1" applyFill="1" applyBorder="1" applyAlignment="1">
      <alignment horizontal="center" vertical="center" wrapText="1"/>
    </xf>
    <xf numFmtId="5" fontId="0" fillId="45" borderId="88" xfId="0" applyNumberFormat="1" applyFont="1" applyFill="1" applyBorder="1" applyAlignment="1">
      <alignment horizontal="center" vertical="center" wrapText="1"/>
    </xf>
    <xf numFmtId="0" fontId="104" fillId="40" borderId="0" xfId="0" applyFont="1" applyFill="1" applyBorder="1" applyAlignment="1">
      <alignment horizontal="center" vertical="center"/>
    </xf>
    <xf numFmtId="0" fontId="0" fillId="45" borderId="79" xfId="0" applyFont="1" applyFill="1" applyBorder="1" applyAlignment="1">
      <alignment horizontal="center" vertical="center" wrapText="1"/>
    </xf>
    <xf numFmtId="0" fontId="0" fillId="45" borderId="86" xfId="0" applyFont="1" applyFill="1" applyBorder="1" applyAlignment="1">
      <alignment horizontal="center" vertical="center" wrapText="1"/>
    </xf>
    <xf numFmtId="0" fontId="57" fillId="45" borderId="77" xfId="0" applyFont="1" applyFill="1" applyBorder="1" applyAlignment="1">
      <alignment horizontal="left" vertical="center" wrapText="1" indent="1"/>
    </xf>
    <xf numFmtId="0" fontId="57" fillId="45" borderId="78" xfId="0" applyFont="1" applyFill="1" applyBorder="1" applyAlignment="1">
      <alignment horizontal="left" vertical="center" wrapText="1" indent="1"/>
    </xf>
    <xf numFmtId="5" fontId="0" fillId="45" borderId="78" xfId="0" applyNumberFormat="1" applyFont="1" applyFill="1" applyBorder="1" applyAlignment="1">
      <alignment horizontal="center" vertical="center" wrapText="1"/>
    </xf>
    <xf numFmtId="5" fontId="0" fillId="45" borderId="81" xfId="0" applyNumberFormat="1" applyFont="1" applyFill="1" applyBorder="1" applyAlignment="1">
      <alignment horizontal="center" vertical="center" wrapText="1"/>
    </xf>
    <xf numFmtId="173" fontId="0" fillId="45" borderId="76" xfId="0" applyNumberFormat="1" applyFont="1" applyFill="1" applyBorder="1" applyAlignment="1">
      <alignment horizontal="center" vertical="center" wrapText="1"/>
    </xf>
    <xf numFmtId="173" fontId="0" fillId="45" borderId="80" xfId="0" applyNumberFormat="1" applyFont="1" applyFill="1" applyBorder="1" applyAlignment="1">
      <alignment horizontal="center" vertical="center" wrapText="1"/>
    </xf>
    <xf numFmtId="9" fontId="0" fillId="45" borderId="79" xfId="0" applyNumberFormat="1" applyFont="1" applyFill="1" applyBorder="1" applyAlignment="1">
      <alignment horizontal="center" vertical="center" wrapText="1"/>
    </xf>
    <xf numFmtId="0" fontId="0" fillId="45" borderId="76" xfId="0" applyNumberFormat="1" applyFont="1" applyFill="1" applyBorder="1" applyAlignment="1">
      <alignment horizontal="center" vertical="center" wrapText="1"/>
    </xf>
    <xf numFmtId="0" fontId="0" fillId="45" borderId="80" xfId="0" applyNumberFormat="1" applyFont="1" applyFill="1" applyBorder="1" applyAlignment="1">
      <alignment horizontal="center" vertical="center" wrapText="1"/>
    </xf>
    <xf numFmtId="9" fontId="0" fillId="45" borderId="76" xfId="0" applyNumberFormat="1" applyFont="1" applyFill="1" applyBorder="1" applyAlignment="1">
      <alignment horizontal="center" vertical="center" wrapText="1"/>
    </xf>
    <xf numFmtId="9" fontId="0" fillId="45" borderId="80" xfId="0" applyNumberFormat="1" applyFont="1" applyFill="1" applyBorder="1" applyAlignment="1">
      <alignment horizontal="center" vertical="center" wrapText="1"/>
    </xf>
    <xf numFmtId="3" fontId="0" fillId="45" borderId="79" xfId="0" applyNumberFormat="1" applyFont="1" applyFill="1" applyBorder="1" applyAlignment="1">
      <alignment horizontal="center" vertical="center" wrapText="1"/>
    </xf>
    <xf numFmtId="0" fontId="57" fillId="45" borderId="48" xfId="0" applyFont="1" applyFill="1" applyBorder="1" applyAlignment="1">
      <alignment horizontal="left" vertical="center" wrapText="1" indent="1"/>
    </xf>
    <xf numFmtId="0" fontId="57" fillId="45" borderId="49" xfId="0" applyFont="1" applyFill="1" applyBorder="1" applyAlignment="1">
      <alignment horizontal="left" vertical="center" wrapText="1" indent="1"/>
    </xf>
    <xf numFmtId="0" fontId="0" fillId="45" borderId="39" xfId="0" applyFont="1" applyFill="1" applyBorder="1" applyAlignment="1">
      <alignment horizontal="center" vertical="center" wrapText="1"/>
    </xf>
    <xf numFmtId="0" fontId="0" fillId="45" borderId="40" xfId="0" applyFont="1" applyFill="1" applyBorder="1" applyAlignment="1">
      <alignment horizontal="center" vertical="center" wrapText="1"/>
    </xf>
    <xf numFmtId="43" fontId="0" fillId="45" borderId="49" xfId="0" applyNumberFormat="1" applyFont="1" applyFill="1" applyBorder="1" applyAlignment="1">
      <alignment horizontal="center" vertical="center" wrapText="1"/>
    </xf>
    <xf numFmtId="43" fontId="0" fillId="45" borderId="50"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top" wrapText="1"/>
    </xf>
    <xf numFmtId="0" fontId="0" fillId="0" borderId="104"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0" xfId="0" quotePrefix="1" applyAlignment="1">
      <alignment horizontal="left" vertical="center" wrapText="1"/>
    </xf>
    <xf numFmtId="6" fontId="0" fillId="0" borderId="0" xfId="0" applyNumberFormat="1" applyAlignment="1">
      <alignment horizontal="left" vertical="center" wrapText="1"/>
    </xf>
    <xf numFmtId="15" fontId="0" fillId="0" borderId="0" xfId="0" quotePrefix="1" applyNumberFormat="1" applyAlignment="1">
      <alignment horizontal="left" vertical="center" wrapText="1"/>
    </xf>
    <xf numFmtId="0" fontId="57" fillId="44" borderId="22" xfId="0" applyFont="1" applyFill="1" applyBorder="1" applyAlignment="1">
      <alignment horizontal="center" vertical="center" wrapText="1"/>
    </xf>
    <xf numFmtId="0" fontId="57" fillId="44" borderId="62" xfId="0" applyFont="1" applyFill="1" applyBorder="1" applyAlignment="1">
      <alignment horizontal="center" vertical="center" wrapText="1"/>
    </xf>
    <xf numFmtId="0" fontId="58" fillId="0" borderId="121" xfId="0" applyFont="1" applyBorder="1" applyAlignment="1">
      <alignment horizontal="center"/>
    </xf>
    <xf numFmtId="0" fontId="58" fillId="0" borderId="19" xfId="0" applyFont="1" applyBorder="1" applyAlignment="1">
      <alignment horizontal="center"/>
    </xf>
    <xf numFmtId="0" fontId="58" fillId="0" borderId="20" xfId="0" applyFont="1" applyBorder="1" applyAlignment="1">
      <alignment horizontal="center"/>
    </xf>
    <xf numFmtId="0" fontId="0" fillId="0" borderId="118" xfId="0" applyBorder="1" applyAlignment="1">
      <alignment horizontal="center"/>
    </xf>
    <xf numFmtId="0" fontId="0" fillId="0" borderId="60" xfId="0" applyBorder="1" applyAlignment="1">
      <alignment horizontal="center"/>
    </xf>
    <xf numFmtId="0" fontId="0" fillId="0" borderId="117" xfId="0" applyBorder="1" applyAlignment="1">
      <alignment horizontal="center"/>
    </xf>
    <xf numFmtId="0" fontId="95" fillId="29" borderId="0" xfId="0" applyFont="1" applyFill="1" applyBorder="1" applyAlignment="1">
      <alignment horizontal="center" vertical="center"/>
    </xf>
    <xf numFmtId="0" fontId="56" fillId="29" borderId="106" xfId="0" applyFont="1" applyFill="1" applyBorder="1" applyAlignment="1">
      <alignment horizontal="center"/>
    </xf>
    <xf numFmtId="0" fontId="56" fillId="29" borderId="107" xfId="0" applyFont="1" applyFill="1" applyBorder="1" applyAlignment="1">
      <alignment horizontal="center"/>
    </xf>
    <xf numFmtId="0" fontId="56" fillId="29" borderId="0" xfId="0" applyFont="1" applyFill="1" applyAlignment="1">
      <alignment horizontal="center"/>
    </xf>
  </cellXfs>
  <cellStyles count="1039">
    <cellStyle name="20% - Accent1 10" xfId="1" xr:uid="{00000000-0005-0000-0000-000000000000}"/>
    <cellStyle name="20% - Accent1 11" xfId="2" xr:uid="{00000000-0005-0000-0000-000001000000}"/>
    <cellStyle name="20% - Accent1 12" xfId="3" xr:uid="{00000000-0005-0000-0000-000002000000}"/>
    <cellStyle name="20% - Accent1 13" xfId="4" xr:uid="{00000000-0005-0000-0000-000003000000}"/>
    <cellStyle name="20% - Accent1 2" xfId="5" xr:uid="{00000000-0005-0000-0000-000004000000}"/>
    <cellStyle name="20% - Accent1 3" xfId="6" xr:uid="{00000000-0005-0000-0000-000005000000}"/>
    <cellStyle name="20% - Accent1 4" xfId="7" xr:uid="{00000000-0005-0000-0000-000006000000}"/>
    <cellStyle name="20% - Accent1 5" xfId="8" xr:uid="{00000000-0005-0000-0000-000007000000}"/>
    <cellStyle name="20% - Accent1 6" xfId="9" xr:uid="{00000000-0005-0000-0000-000008000000}"/>
    <cellStyle name="20% - Accent1 7" xfId="10" xr:uid="{00000000-0005-0000-0000-000009000000}"/>
    <cellStyle name="20% - Accent1 8" xfId="11" xr:uid="{00000000-0005-0000-0000-00000A000000}"/>
    <cellStyle name="20% - Accent1 9" xfId="12" xr:uid="{00000000-0005-0000-0000-00000B000000}"/>
    <cellStyle name="20% - Accent2 10" xfId="13" xr:uid="{00000000-0005-0000-0000-00000C000000}"/>
    <cellStyle name="20% - Accent2 11" xfId="14" xr:uid="{00000000-0005-0000-0000-00000D000000}"/>
    <cellStyle name="20% - Accent2 12" xfId="15" xr:uid="{00000000-0005-0000-0000-00000E000000}"/>
    <cellStyle name="20% - Accent2 13" xfId="16" xr:uid="{00000000-0005-0000-0000-00000F000000}"/>
    <cellStyle name="20% - Accent2 2" xfId="17" xr:uid="{00000000-0005-0000-0000-000010000000}"/>
    <cellStyle name="20% - Accent2 3" xfId="18" xr:uid="{00000000-0005-0000-0000-000011000000}"/>
    <cellStyle name="20% - Accent2 4" xfId="19" xr:uid="{00000000-0005-0000-0000-000012000000}"/>
    <cellStyle name="20% - Accent2 5" xfId="20" xr:uid="{00000000-0005-0000-0000-000013000000}"/>
    <cellStyle name="20% - Accent2 6" xfId="21" xr:uid="{00000000-0005-0000-0000-000014000000}"/>
    <cellStyle name="20% - Accent2 7" xfId="22" xr:uid="{00000000-0005-0000-0000-000015000000}"/>
    <cellStyle name="20% - Accent2 8" xfId="23" xr:uid="{00000000-0005-0000-0000-000016000000}"/>
    <cellStyle name="20% - Accent2 9" xfId="24" xr:uid="{00000000-0005-0000-0000-000017000000}"/>
    <cellStyle name="20% - Accent3 10" xfId="25" xr:uid="{00000000-0005-0000-0000-000018000000}"/>
    <cellStyle name="20% - Accent3 11" xfId="26" xr:uid="{00000000-0005-0000-0000-000019000000}"/>
    <cellStyle name="20% - Accent3 12" xfId="27" xr:uid="{00000000-0005-0000-0000-00001A000000}"/>
    <cellStyle name="20% - Accent3 13" xfId="28" xr:uid="{00000000-0005-0000-0000-00001B000000}"/>
    <cellStyle name="20% - Accent3 2" xfId="29" xr:uid="{00000000-0005-0000-0000-00001C000000}"/>
    <cellStyle name="20% - Accent3 3" xfId="30" xr:uid="{00000000-0005-0000-0000-00001D000000}"/>
    <cellStyle name="20% - Accent3 4" xfId="31" xr:uid="{00000000-0005-0000-0000-00001E000000}"/>
    <cellStyle name="20% - Accent3 5" xfId="32" xr:uid="{00000000-0005-0000-0000-00001F000000}"/>
    <cellStyle name="20% - Accent3 6" xfId="33" xr:uid="{00000000-0005-0000-0000-000020000000}"/>
    <cellStyle name="20% - Accent3 7" xfId="34" xr:uid="{00000000-0005-0000-0000-000021000000}"/>
    <cellStyle name="20% - Accent3 8" xfId="35" xr:uid="{00000000-0005-0000-0000-000022000000}"/>
    <cellStyle name="20% - Accent3 9" xfId="36" xr:uid="{00000000-0005-0000-0000-000023000000}"/>
    <cellStyle name="20% - Accent4 10" xfId="37" xr:uid="{00000000-0005-0000-0000-000024000000}"/>
    <cellStyle name="20% - Accent4 11" xfId="38" xr:uid="{00000000-0005-0000-0000-000025000000}"/>
    <cellStyle name="20% - Accent4 12" xfId="39" xr:uid="{00000000-0005-0000-0000-000026000000}"/>
    <cellStyle name="20% - Accent4 13" xfId="40" xr:uid="{00000000-0005-0000-0000-000027000000}"/>
    <cellStyle name="20% - Accent4 2" xfId="41" xr:uid="{00000000-0005-0000-0000-000028000000}"/>
    <cellStyle name="20% - Accent4 3" xfId="42" xr:uid="{00000000-0005-0000-0000-000029000000}"/>
    <cellStyle name="20% - Accent4 4" xfId="43" xr:uid="{00000000-0005-0000-0000-00002A000000}"/>
    <cellStyle name="20% - Accent4 5" xfId="44" xr:uid="{00000000-0005-0000-0000-00002B000000}"/>
    <cellStyle name="20% - Accent4 6" xfId="45" xr:uid="{00000000-0005-0000-0000-00002C000000}"/>
    <cellStyle name="20% - Accent4 7" xfId="46" xr:uid="{00000000-0005-0000-0000-00002D000000}"/>
    <cellStyle name="20% - Accent4 8" xfId="47" xr:uid="{00000000-0005-0000-0000-00002E000000}"/>
    <cellStyle name="20% - Accent4 9" xfId="48" xr:uid="{00000000-0005-0000-0000-00002F000000}"/>
    <cellStyle name="20% - Accent5 10" xfId="49" xr:uid="{00000000-0005-0000-0000-000030000000}"/>
    <cellStyle name="20% - Accent5 11" xfId="50" xr:uid="{00000000-0005-0000-0000-000031000000}"/>
    <cellStyle name="20% - Accent5 12" xfId="51" xr:uid="{00000000-0005-0000-0000-000032000000}"/>
    <cellStyle name="20% - Accent5 13" xfId="52" xr:uid="{00000000-0005-0000-0000-000033000000}"/>
    <cellStyle name="20% - Accent5 2" xfId="53" xr:uid="{00000000-0005-0000-0000-000034000000}"/>
    <cellStyle name="20% - Accent5 3" xfId="54" xr:uid="{00000000-0005-0000-0000-000035000000}"/>
    <cellStyle name="20% - Accent5 4" xfId="55" xr:uid="{00000000-0005-0000-0000-000036000000}"/>
    <cellStyle name="20% - Accent5 5" xfId="56" xr:uid="{00000000-0005-0000-0000-000037000000}"/>
    <cellStyle name="20% - Accent5 6" xfId="57" xr:uid="{00000000-0005-0000-0000-000038000000}"/>
    <cellStyle name="20% - Accent5 7" xfId="58" xr:uid="{00000000-0005-0000-0000-000039000000}"/>
    <cellStyle name="20% - Accent5 8" xfId="59" xr:uid="{00000000-0005-0000-0000-00003A000000}"/>
    <cellStyle name="20% - Accent5 9" xfId="60" xr:uid="{00000000-0005-0000-0000-00003B000000}"/>
    <cellStyle name="20% - Accent6 10" xfId="61" xr:uid="{00000000-0005-0000-0000-00003C000000}"/>
    <cellStyle name="20% - Accent6 11" xfId="62" xr:uid="{00000000-0005-0000-0000-00003D000000}"/>
    <cellStyle name="20% - Accent6 12" xfId="63" xr:uid="{00000000-0005-0000-0000-00003E000000}"/>
    <cellStyle name="20% - Accent6 13" xfId="64" xr:uid="{00000000-0005-0000-0000-00003F000000}"/>
    <cellStyle name="20% - Accent6 2" xfId="65" xr:uid="{00000000-0005-0000-0000-000040000000}"/>
    <cellStyle name="20% - Accent6 3" xfId="66" xr:uid="{00000000-0005-0000-0000-000041000000}"/>
    <cellStyle name="20% - Accent6 4" xfId="67" xr:uid="{00000000-0005-0000-0000-000042000000}"/>
    <cellStyle name="20% - Accent6 5" xfId="68" xr:uid="{00000000-0005-0000-0000-000043000000}"/>
    <cellStyle name="20% - Accent6 6" xfId="69" xr:uid="{00000000-0005-0000-0000-000044000000}"/>
    <cellStyle name="20% - Accent6 7" xfId="70" xr:uid="{00000000-0005-0000-0000-000045000000}"/>
    <cellStyle name="20% - Accent6 8" xfId="71" xr:uid="{00000000-0005-0000-0000-000046000000}"/>
    <cellStyle name="20% - Accent6 9" xfId="72" xr:uid="{00000000-0005-0000-0000-000047000000}"/>
    <cellStyle name="40% - Accent1 10" xfId="73" xr:uid="{00000000-0005-0000-0000-000048000000}"/>
    <cellStyle name="40% - Accent1 11" xfId="74" xr:uid="{00000000-0005-0000-0000-000049000000}"/>
    <cellStyle name="40% - Accent1 12" xfId="75" xr:uid="{00000000-0005-0000-0000-00004A000000}"/>
    <cellStyle name="40% - Accent1 13" xfId="76" xr:uid="{00000000-0005-0000-0000-00004B000000}"/>
    <cellStyle name="40% - Accent1 2" xfId="77" xr:uid="{00000000-0005-0000-0000-00004C000000}"/>
    <cellStyle name="40% - Accent1 3" xfId="78" xr:uid="{00000000-0005-0000-0000-00004D000000}"/>
    <cellStyle name="40% - Accent1 4" xfId="79" xr:uid="{00000000-0005-0000-0000-00004E000000}"/>
    <cellStyle name="40% - Accent1 5" xfId="80" xr:uid="{00000000-0005-0000-0000-00004F000000}"/>
    <cellStyle name="40% - Accent1 6" xfId="81" xr:uid="{00000000-0005-0000-0000-000050000000}"/>
    <cellStyle name="40% - Accent1 7" xfId="82" xr:uid="{00000000-0005-0000-0000-000051000000}"/>
    <cellStyle name="40% - Accent1 8" xfId="83" xr:uid="{00000000-0005-0000-0000-000052000000}"/>
    <cellStyle name="40% - Accent1 9" xfId="84" xr:uid="{00000000-0005-0000-0000-000053000000}"/>
    <cellStyle name="40% - Accent2 10" xfId="85" xr:uid="{00000000-0005-0000-0000-000054000000}"/>
    <cellStyle name="40% - Accent2 11" xfId="86" xr:uid="{00000000-0005-0000-0000-000055000000}"/>
    <cellStyle name="40% - Accent2 12" xfId="87" xr:uid="{00000000-0005-0000-0000-000056000000}"/>
    <cellStyle name="40% - Accent2 13" xfId="88" xr:uid="{00000000-0005-0000-0000-000057000000}"/>
    <cellStyle name="40% - Accent2 2" xfId="89" xr:uid="{00000000-0005-0000-0000-000058000000}"/>
    <cellStyle name="40% - Accent2 3" xfId="90" xr:uid="{00000000-0005-0000-0000-000059000000}"/>
    <cellStyle name="40% - Accent2 4" xfId="91" xr:uid="{00000000-0005-0000-0000-00005A000000}"/>
    <cellStyle name="40% - Accent2 5" xfId="92" xr:uid="{00000000-0005-0000-0000-00005B000000}"/>
    <cellStyle name="40% - Accent2 6" xfId="93" xr:uid="{00000000-0005-0000-0000-00005C000000}"/>
    <cellStyle name="40% - Accent2 7" xfId="94" xr:uid="{00000000-0005-0000-0000-00005D000000}"/>
    <cellStyle name="40% - Accent2 8" xfId="95" xr:uid="{00000000-0005-0000-0000-00005E000000}"/>
    <cellStyle name="40% - Accent2 9" xfId="96" xr:uid="{00000000-0005-0000-0000-00005F000000}"/>
    <cellStyle name="40% - Accent3 10" xfId="97" xr:uid="{00000000-0005-0000-0000-000060000000}"/>
    <cellStyle name="40% - Accent3 11" xfId="98" xr:uid="{00000000-0005-0000-0000-000061000000}"/>
    <cellStyle name="40% - Accent3 12" xfId="99" xr:uid="{00000000-0005-0000-0000-000062000000}"/>
    <cellStyle name="40% - Accent3 13" xfId="100" xr:uid="{00000000-0005-0000-0000-000063000000}"/>
    <cellStyle name="40% - Accent3 2" xfId="101" xr:uid="{00000000-0005-0000-0000-000064000000}"/>
    <cellStyle name="40% - Accent3 3" xfId="102" xr:uid="{00000000-0005-0000-0000-000065000000}"/>
    <cellStyle name="40% - Accent3 4" xfId="103" xr:uid="{00000000-0005-0000-0000-000066000000}"/>
    <cellStyle name="40% - Accent3 5" xfId="104" xr:uid="{00000000-0005-0000-0000-000067000000}"/>
    <cellStyle name="40% - Accent3 6" xfId="105" xr:uid="{00000000-0005-0000-0000-000068000000}"/>
    <cellStyle name="40% - Accent3 7" xfId="106" xr:uid="{00000000-0005-0000-0000-000069000000}"/>
    <cellStyle name="40% - Accent3 8" xfId="107" xr:uid="{00000000-0005-0000-0000-00006A000000}"/>
    <cellStyle name="40% - Accent3 9" xfId="108" xr:uid="{00000000-0005-0000-0000-00006B000000}"/>
    <cellStyle name="40% - Accent4 10" xfId="109" xr:uid="{00000000-0005-0000-0000-00006C000000}"/>
    <cellStyle name="40% - Accent4 11" xfId="110" xr:uid="{00000000-0005-0000-0000-00006D000000}"/>
    <cellStyle name="40% - Accent4 12" xfId="111" xr:uid="{00000000-0005-0000-0000-00006E000000}"/>
    <cellStyle name="40% - Accent4 13" xfId="112" xr:uid="{00000000-0005-0000-0000-00006F000000}"/>
    <cellStyle name="40% - Accent4 2" xfId="113" xr:uid="{00000000-0005-0000-0000-000070000000}"/>
    <cellStyle name="40% - Accent4 3" xfId="114" xr:uid="{00000000-0005-0000-0000-000071000000}"/>
    <cellStyle name="40% - Accent4 4" xfId="115" xr:uid="{00000000-0005-0000-0000-000072000000}"/>
    <cellStyle name="40% - Accent4 5" xfId="116" xr:uid="{00000000-0005-0000-0000-000073000000}"/>
    <cellStyle name="40% - Accent4 6" xfId="117" xr:uid="{00000000-0005-0000-0000-000074000000}"/>
    <cellStyle name="40% - Accent4 7" xfId="118" xr:uid="{00000000-0005-0000-0000-000075000000}"/>
    <cellStyle name="40% - Accent4 8" xfId="119" xr:uid="{00000000-0005-0000-0000-000076000000}"/>
    <cellStyle name="40% - Accent4 9" xfId="120" xr:uid="{00000000-0005-0000-0000-000077000000}"/>
    <cellStyle name="40% - Accent5 10" xfId="121" xr:uid="{00000000-0005-0000-0000-000078000000}"/>
    <cellStyle name="40% - Accent5 11" xfId="122" xr:uid="{00000000-0005-0000-0000-000079000000}"/>
    <cellStyle name="40% - Accent5 12" xfId="123" xr:uid="{00000000-0005-0000-0000-00007A000000}"/>
    <cellStyle name="40% - Accent5 13" xfId="124" xr:uid="{00000000-0005-0000-0000-00007B000000}"/>
    <cellStyle name="40% - Accent5 2" xfId="125" xr:uid="{00000000-0005-0000-0000-00007C000000}"/>
    <cellStyle name="40% - Accent5 3" xfId="126" xr:uid="{00000000-0005-0000-0000-00007D000000}"/>
    <cellStyle name="40% - Accent5 4" xfId="127" xr:uid="{00000000-0005-0000-0000-00007E000000}"/>
    <cellStyle name="40% - Accent5 5" xfId="128" xr:uid="{00000000-0005-0000-0000-00007F000000}"/>
    <cellStyle name="40% - Accent5 6" xfId="129" xr:uid="{00000000-0005-0000-0000-000080000000}"/>
    <cellStyle name="40% - Accent5 7" xfId="130" xr:uid="{00000000-0005-0000-0000-000081000000}"/>
    <cellStyle name="40% - Accent5 8" xfId="131" xr:uid="{00000000-0005-0000-0000-000082000000}"/>
    <cellStyle name="40% - Accent5 9" xfId="132" xr:uid="{00000000-0005-0000-0000-000083000000}"/>
    <cellStyle name="40% - Accent6 10" xfId="133" xr:uid="{00000000-0005-0000-0000-000084000000}"/>
    <cellStyle name="40% - Accent6 11" xfId="134" xr:uid="{00000000-0005-0000-0000-000085000000}"/>
    <cellStyle name="40% - Accent6 12" xfId="135" xr:uid="{00000000-0005-0000-0000-000086000000}"/>
    <cellStyle name="40% - Accent6 13" xfId="136" xr:uid="{00000000-0005-0000-0000-000087000000}"/>
    <cellStyle name="40% - Accent6 2" xfId="137" xr:uid="{00000000-0005-0000-0000-000088000000}"/>
    <cellStyle name="40% - Accent6 3" xfId="138" xr:uid="{00000000-0005-0000-0000-000089000000}"/>
    <cellStyle name="40% - Accent6 4" xfId="139" xr:uid="{00000000-0005-0000-0000-00008A000000}"/>
    <cellStyle name="40% - Accent6 5" xfId="140" xr:uid="{00000000-0005-0000-0000-00008B000000}"/>
    <cellStyle name="40% - Accent6 6" xfId="141" xr:uid="{00000000-0005-0000-0000-00008C000000}"/>
    <cellStyle name="40% - Accent6 7" xfId="142" xr:uid="{00000000-0005-0000-0000-00008D000000}"/>
    <cellStyle name="40% - Accent6 8" xfId="143" xr:uid="{00000000-0005-0000-0000-00008E000000}"/>
    <cellStyle name="40% - Accent6 9" xfId="144" xr:uid="{00000000-0005-0000-0000-00008F000000}"/>
    <cellStyle name="60% - Accent1 10" xfId="145" xr:uid="{00000000-0005-0000-0000-000090000000}"/>
    <cellStyle name="60% - Accent1 11" xfId="146" xr:uid="{00000000-0005-0000-0000-000091000000}"/>
    <cellStyle name="60% - Accent1 12" xfId="147" xr:uid="{00000000-0005-0000-0000-000092000000}"/>
    <cellStyle name="60% - Accent1 13" xfId="148" xr:uid="{00000000-0005-0000-0000-000093000000}"/>
    <cellStyle name="60% - Accent1 2" xfId="149" xr:uid="{00000000-0005-0000-0000-000094000000}"/>
    <cellStyle name="60% - Accent1 3" xfId="150" xr:uid="{00000000-0005-0000-0000-000095000000}"/>
    <cellStyle name="60% - Accent1 4" xfId="151" xr:uid="{00000000-0005-0000-0000-000096000000}"/>
    <cellStyle name="60% - Accent1 5" xfId="152" xr:uid="{00000000-0005-0000-0000-000097000000}"/>
    <cellStyle name="60% - Accent1 6" xfId="153" xr:uid="{00000000-0005-0000-0000-000098000000}"/>
    <cellStyle name="60% - Accent1 7" xfId="154" xr:uid="{00000000-0005-0000-0000-000099000000}"/>
    <cellStyle name="60% - Accent1 8" xfId="155" xr:uid="{00000000-0005-0000-0000-00009A000000}"/>
    <cellStyle name="60% - Accent1 9" xfId="156" xr:uid="{00000000-0005-0000-0000-00009B000000}"/>
    <cellStyle name="60% - Accent2 10" xfId="157" xr:uid="{00000000-0005-0000-0000-00009C000000}"/>
    <cellStyle name="60% - Accent2 11" xfId="158" xr:uid="{00000000-0005-0000-0000-00009D000000}"/>
    <cellStyle name="60% - Accent2 12" xfId="159" xr:uid="{00000000-0005-0000-0000-00009E000000}"/>
    <cellStyle name="60% - Accent2 13" xfId="160" xr:uid="{00000000-0005-0000-0000-00009F000000}"/>
    <cellStyle name="60% - Accent2 2" xfId="161" xr:uid="{00000000-0005-0000-0000-0000A0000000}"/>
    <cellStyle name="60% - Accent2 3" xfId="162" xr:uid="{00000000-0005-0000-0000-0000A1000000}"/>
    <cellStyle name="60% - Accent2 4" xfId="163" xr:uid="{00000000-0005-0000-0000-0000A2000000}"/>
    <cellStyle name="60% - Accent2 5" xfId="164" xr:uid="{00000000-0005-0000-0000-0000A3000000}"/>
    <cellStyle name="60% - Accent2 6" xfId="165" xr:uid="{00000000-0005-0000-0000-0000A4000000}"/>
    <cellStyle name="60% - Accent2 7" xfId="166" xr:uid="{00000000-0005-0000-0000-0000A5000000}"/>
    <cellStyle name="60% - Accent2 8" xfId="167" xr:uid="{00000000-0005-0000-0000-0000A6000000}"/>
    <cellStyle name="60% - Accent2 9" xfId="168" xr:uid="{00000000-0005-0000-0000-0000A7000000}"/>
    <cellStyle name="60% - Accent3 10" xfId="169" xr:uid="{00000000-0005-0000-0000-0000A8000000}"/>
    <cellStyle name="60% - Accent3 11" xfId="170" xr:uid="{00000000-0005-0000-0000-0000A9000000}"/>
    <cellStyle name="60% - Accent3 12" xfId="171" xr:uid="{00000000-0005-0000-0000-0000AA000000}"/>
    <cellStyle name="60% - Accent3 13" xfId="172" xr:uid="{00000000-0005-0000-0000-0000AB000000}"/>
    <cellStyle name="60% - Accent3 2" xfId="173" xr:uid="{00000000-0005-0000-0000-0000AC000000}"/>
    <cellStyle name="60% - Accent3 3" xfId="174" xr:uid="{00000000-0005-0000-0000-0000AD000000}"/>
    <cellStyle name="60% - Accent3 4" xfId="175" xr:uid="{00000000-0005-0000-0000-0000AE000000}"/>
    <cellStyle name="60% - Accent3 5" xfId="176" xr:uid="{00000000-0005-0000-0000-0000AF000000}"/>
    <cellStyle name="60% - Accent3 6" xfId="177" xr:uid="{00000000-0005-0000-0000-0000B0000000}"/>
    <cellStyle name="60% - Accent3 7" xfId="178" xr:uid="{00000000-0005-0000-0000-0000B1000000}"/>
    <cellStyle name="60% - Accent3 8" xfId="179" xr:uid="{00000000-0005-0000-0000-0000B2000000}"/>
    <cellStyle name="60% - Accent3 9" xfId="180" xr:uid="{00000000-0005-0000-0000-0000B3000000}"/>
    <cellStyle name="60% - Accent4 10" xfId="181" xr:uid="{00000000-0005-0000-0000-0000B4000000}"/>
    <cellStyle name="60% - Accent4 11" xfId="182" xr:uid="{00000000-0005-0000-0000-0000B5000000}"/>
    <cellStyle name="60% - Accent4 12" xfId="183" xr:uid="{00000000-0005-0000-0000-0000B6000000}"/>
    <cellStyle name="60% - Accent4 13" xfId="184" xr:uid="{00000000-0005-0000-0000-0000B7000000}"/>
    <cellStyle name="60% - Accent4 2" xfId="185" xr:uid="{00000000-0005-0000-0000-0000B8000000}"/>
    <cellStyle name="60% - Accent4 3" xfId="186" xr:uid="{00000000-0005-0000-0000-0000B9000000}"/>
    <cellStyle name="60% - Accent4 4" xfId="187" xr:uid="{00000000-0005-0000-0000-0000BA000000}"/>
    <cellStyle name="60% - Accent4 5" xfId="188" xr:uid="{00000000-0005-0000-0000-0000BB000000}"/>
    <cellStyle name="60% - Accent4 6" xfId="189" xr:uid="{00000000-0005-0000-0000-0000BC000000}"/>
    <cellStyle name="60% - Accent4 7" xfId="190" xr:uid="{00000000-0005-0000-0000-0000BD000000}"/>
    <cellStyle name="60% - Accent4 8" xfId="191" xr:uid="{00000000-0005-0000-0000-0000BE000000}"/>
    <cellStyle name="60% - Accent4 9" xfId="192" xr:uid="{00000000-0005-0000-0000-0000BF000000}"/>
    <cellStyle name="60% - Accent5 10" xfId="193" xr:uid="{00000000-0005-0000-0000-0000C0000000}"/>
    <cellStyle name="60% - Accent5 11" xfId="194" xr:uid="{00000000-0005-0000-0000-0000C1000000}"/>
    <cellStyle name="60% - Accent5 12" xfId="195" xr:uid="{00000000-0005-0000-0000-0000C2000000}"/>
    <cellStyle name="60% - Accent5 13" xfId="196" xr:uid="{00000000-0005-0000-0000-0000C3000000}"/>
    <cellStyle name="60% - Accent5 2" xfId="197" xr:uid="{00000000-0005-0000-0000-0000C4000000}"/>
    <cellStyle name="60% - Accent5 3" xfId="198" xr:uid="{00000000-0005-0000-0000-0000C5000000}"/>
    <cellStyle name="60% - Accent5 4" xfId="199" xr:uid="{00000000-0005-0000-0000-0000C6000000}"/>
    <cellStyle name="60% - Accent5 5" xfId="200" xr:uid="{00000000-0005-0000-0000-0000C7000000}"/>
    <cellStyle name="60% - Accent5 6" xfId="201" xr:uid="{00000000-0005-0000-0000-0000C8000000}"/>
    <cellStyle name="60% - Accent5 7" xfId="202" xr:uid="{00000000-0005-0000-0000-0000C9000000}"/>
    <cellStyle name="60% - Accent5 8" xfId="203" xr:uid="{00000000-0005-0000-0000-0000CA000000}"/>
    <cellStyle name="60% - Accent5 9" xfId="204" xr:uid="{00000000-0005-0000-0000-0000CB000000}"/>
    <cellStyle name="60% - Accent6 10" xfId="205" xr:uid="{00000000-0005-0000-0000-0000CC000000}"/>
    <cellStyle name="60% - Accent6 11" xfId="206" xr:uid="{00000000-0005-0000-0000-0000CD000000}"/>
    <cellStyle name="60% - Accent6 12" xfId="207" xr:uid="{00000000-0005-0000-0000-0000CE000000}"/>
    <cellStyle name="60% - Accent6 13" xfId="208" xr:uid="{00000000-0005-0000-0000-0000CF000000}"/>
    <cellStyle name="60% - Accent6 2" xfId="209" xr:uid="{00000000-0005-0000-0000-0000D0000000}"/>
    <cellStyle name="60% - Accent6 3" xfId="210" xr:uid="{00000000-0005-0000-0000-0000D1000000}"/>
    <cellStyle name="60% - Accent6 4" xfId="211" xr:uid="{00000000-0005-0000-0000-0000D2000000}"/>
    <cellStyle name="60% - Accent6 5" xfId="212" xr:uid="{00000000-0005-0000-0000-0000D3000000}"/>
    <cellStyle name="60% - Accent6 6" xfId="213" xr:uid="{00000000-0005-0000-0000-0000D4000000}"/>
    <cellStyle name="60% - Accent6 7" xfId="214" xr:uid="{00000000-0005-0000-0000-0000D5000000}"/>
    <cellStyle name="60% - Accent6 8" xfId="215" xr:uid="{00000000-0005-0000-0000-0000D6000000}"/>
    <cellStyle name="60% - Accent6 9" xfId="216" xr:uid="{00000000-0005-0000-0000-0000D7000000}"/>
    <cellStyle name="A" xfId="217" xr:uid="{00000000-0005-0000-0000-0000D8000000}"/>
    <cellStyle name="A_Book2" xfId="218" xr:uid="{00000000-0005-0000-0000-0000D9000000}"/>
    <cellStyle name="A_Budget FY 2007 Monthly FTE" xfId="219" xr:uid="{00000000-0005-0000-0000-0000DA000000}"/>
    <cellStyle name="A_Mercy Cash Projections - Draft 020607" xfId="220" xr:uid="{00000000-0005-0000-0000-0000DB000000}"/>
    <cellStyle name="Accent1 10" xfId="221" xr:uid="{00000000-0005-0000-0000-0000DC000000}"/>
    <cellStyle name="Accent1 11" xfId="222" xr:uid="{00000000-0005-0000-0000-0000DD000000}"/>
    <cellStyle name="Accent1 12" xfId="223" xr:uid="{00000000-0005-0000-0000-0000DE000000}"/>
    <cellStyle name="Accent1 13" xfId="224" xr:uid="{00000000-0005-0000-0000-0000DF000000}"/>
    <cellStyle name="Accent1 2" xfId="225" xr:uid="{00000000-0005-0000-0000-0000E0000000}"/>
    <cellStyle name="Accent1 3" xfId="226" xr:uid="{00000000-0005-0000-0000-0000E1000000}"/>
    <cellStyle name="Accent1 4" xfId="227" xr:uid="{00000000-0005-0000-0000-0000E2000000}"/>
    <cellStyle name="Accent1 5" xfId="228" xr:uid="{00000000-0005-0000-0000-0000E3000000}"/>
    <cellStyle name="Accent1 6" xfId="229" xr:uid="{00000000-0005-0000-0000-0000E4000000}"/>
    <cellStyle name="Accent1 7" xfId="230" xr:uid="{00000000-0005-0000-0000-0000E5000000}"/>
    <cellStyle name="Accent1 8" xfId="231" xr:uid="{00000000-0005-0000-0000-0000E6000000}"/>
    <cellStyle name="Accent1 9" xfId="232" xr:uid="{00000000-0005-0000-0000-0000E7000000}"/>
    <cellStyle name="Accent2 10" xfId="233" xr:uid="{00000000-0005-0000-0000-0000E8000000}"/>
    <cellStyle name="Accent2 11" xfId="234" xr:uid="{00000000-0005-0000-0000-0000E9000000}"/>
    <cellStyle name="Accent2 12" xfId="235" xr:uid="{00000000-0005-0000-0000-0000EA000000}"/>
    <cellStyle name="Accent2 13" xfId="236" xr:uid="{00000000-0005-0000-0000-0000EB000000}"/>
    <cellStyle name="Accent2 2" xfId="237" xr:uid="{00000000-0005-0000-0000-0000EC000000}"/>
    <cellStyle name="Accent2 3" xfId="238" xr:uid="{00000000-0005-0000-0000-0000ED000000}"/>
    <cellStyle name="Accent2 4" xfId="239" xr:uid="{00000000-0005-0000-0000-0000EE000000}"/>
    <cellStyle name="Accent2 5" xfId="240" xr:uid="{00000000-0005-0000-0000-0000EF000000}"/>
    <cellStyle name="Accent2 6" xfId="241" xr:uid="{00000000-0005-0000-0000-0000F0000000}"/>
    <cellStyle name="Accent2 7" xfId="242" xr:uid="{00000000-0005-0000-0000-0000F1000000}"/>
    <cellStyle name="Accent2 8" xfId="243" xr:uid="{00000000-0005-0000-0000-0000F2000000}"/>
    <cellStyle name="Accent2 9" xfId="244" xr:uid="{00000000-0005-0000-0000-0000F3000000}"/>
    <cellStyle name="Accent3 10" xfId="245" xr:uid="{00000000-0005-0000-0000-0000F4000000}"/>
    <cellStyle name="Accent3 11" xfId="246" xr:uid="{00000000-0005-0000-0000-0000F5000000}"/>
    <cellStyle name="Accent3 12" xfId="247" xr:uid="{00000000-0005-0000-0000-0000F6000000}"/>
    <cellStyle name="Accent3 13" xfId="248" xr:uid="{00000000-0005-0000-0000-0000F7000000}"/>
    <cellStyle name="Accent3 2" xfId="249" xr:uid="{00000000-0005-0000-0000-0000F8000000}"/>
    <cellStyle name="Accent3 3" xfId="250" xr:uid="{00000000-0005-0000-0000-0000F9000000}"/>
    <cellStyle name="Accent3 4" xfId="251" xr:uid="{00000000-0005-0000-0000-0000FA000000}"/>
    <cellStyle name="Accent3 5" xfId="252" xr:uid="{00000000-0005-0000-0000-0000FB000000}"/>
    <cellStyle name="Accent3 6" xfId="253" xr:uid="{00000000-0005-0000-0000-0000FC000000}"/>
    <cellStyle name="Accent3 7" xfId="254" xr:uid="{00000000-0005-0000-0000-0000FD000000}"/>
    <cellStyle name="Accent3 8" xfId="255" xr:uid="{00000000-0005-0000-0000-0000FE000000}"/>
    <cellStyle name="Accent3 9" xfId="256" xr:uid="{00000000-0005-0000-0000-0000FF000000}"/>
    <cellStyle name="Accent4 10" xfId="257" xr:uid="{00000000-0005-0000-0000-000000010000}"/>
    <cellStyle name="Accent4 11" xfId="258" xr:uid="{00000000-0005-0000-0000-000001010000}"/>
    <cellStyle name="Accent4 12" xfId="259" xr:uid="{00000000-0005-0000-0000-000002010000}"/>
    <cellStyle name="Accent4 13" xfId="260" xr:uid="{00000000-0005-0000-0000-000003010000}"/>
    <cellStyle name="Accent4 2" xfId="261" xr:uid="{00000000-0005-0000-0000-000004010000}"/>
    <cellStyle name="Accent4 3" xfId="262" xr:uid="{00000000-0005-0000-0000-000005010000}"/>
    <cellStyle name="Accent4 4" xfId="263" xr:uid="{00000000-0005-0000-0000-000006010000}"/>
    <cellStyle name="Accent4 5" xfId="264" xr:uid="{00000000-0005-0000-0000-000007010000}"/>
    <cellStyle name="Accent4 6" xfId="265" xr:uid="{00000000-0005-0000-0000-000008010000}"/>
    <cellStyle name="Accent4 7" xfId="266" xr:uid="{00000000-0005-0000-0000-000009010000}"/>
    <cellStyle name="Accent4 8" xfId="267" xr:uid="{00000000-0005-0000-0000-00000A010000}"/>
    <cellStyle name="Accent4 9" xfId="268" xr:uid="{00000000-0005-0000-0000-00000B010000}"/>
    <cellStyle name="Accent5 10" xfId="269" xr:uid="{00000000-0005-0000-0000-00000C010000}"/>
    <cellStyle name="Accent5 11" xfId="270" xr:uid="{00000000-0005-0000-0000-00000D010000}"/>
    <cellStyle name="Accent5 12" xfId="271" xr:uid="{00000000-0005-0000-0000-00000E010000}"/>
    <cellStyle name="Accent5 13" xfId="272" xr:uid="{00000000-0005-0000-0000-00000F010000}"/>
    <cellStyle name="Accent5 2" xfId="273" xr:uid="{00000000-0005-0000-0000-000010010000}"/>
    <cellStyle name="Accent5 3" xfId="274" xr:uid="{00000000-0005-0000-0000-000011010000}"/>
    <cellStyle name="Accent5 4" xfId="275" xr:uid="{00000000-0005-0000-0000-000012010000}"/>
    <cellStyle name="Accent5 5" xfId="276" xr:uid="{00000000-0005-0000-0000-000013010000}"/>
    <cellStyle name="Accent5 6" xfId="277" xr:uid="{00000000-0005-0000-0000-000014010000}"/>
    <cellStyle name="Accent5 7" xfId="278" xr:uid="{00000000-0005-0000-0000-000015010000}"/>
    <cellStyle name="Accent5 8" xfId="279" xr:uid="{00000000-0005-0000-0000-000016010000}"/>
    <cellStyle name="Accent5 9" xfId="280" xr:uid="{00000000-0005-0000-0000-000017010000}"/>
    <cellStyle name="Accent6 10" xfId="281" xr:uid="{00000000-0005-0000-0000-000018010000}"/>
    <cellStyle name="Accent6 11" xfId="282" xr:uid="{00000000-0005-0000-0000-000019010000}"/>
    <cellStyle name="Accent6 12" xfId="283" xr:uid="{00000000-0005-0000-0000-00001A010000}"/>
    <cellStyle name="Accent6 13" xfId="284" xr:uid="{00000000-0005-0000-0000-00001B010000}"/>
    <cellStyle name="Accent6 2" xfId="285" xr:uid="{00000000-0005-0000-0000-00001C010000}"/>
    <cellStyle name="Accent6 3" xfId="286" xr:uid="{00000000-0005-0000-0000-00001D010000}"/>
    <cellStyle name="Accent6 4" xfId="287" xr:uid="{00000000-0005-0000-0000-00001E010000}"/>
    <cellStyle name="Accent6 5" xfId="288" xr:uid="{00000000-0005-0000-0000-00001F010000}"/>
    <cellStyle name="Accent6 6" xfId="289" xr:uid="{00000000-0005-0000-0000-000020010000}"/>
    <cellStyle name="Accent6 7" xfId="290" xr:uid="{00000000-0005-0000-0000-000021010000}"/>
    <cellStyle name="Accent6 8" xfId="291" xr:uid="{00000000-0005-0000-0000-000022010000}"/>
    <cellStyle name="Accent6 9" xfId="292" xr:uid="{00000000-0005-0000-0000-000023010000}"/>
    <cellStyle name="Bad 10" xfId="293" xr:uid="{00000000-0005-0000-0000-000024010000}"/>
    <cellStyle name="Bad 11" xfId="294" xr:uid="{00000000-0005-0000-0000-000025010000}"/>
    <cellStyle name="Bad 12" xfId="295" xr:uid="{00000000-0005-0000-0000-000026010000}"/>
    <cellStyle name="Bad 13" xfId="296" xr:uid="{00000000-0005-0000-0000-000027010000}"/>
    <cellStyle name="Bad 2" xfId="297" xr:uid="{00000000-0005-0000-0000-000028010000}"/>
    <cellStyle name="Bad 3" xfId="298" xr:uid="{00000000-0005-0000-0000-000029010000}"/>
    <cellStyle name="Bad 4" xfId="299" xr:uid="{00000000-0005-0000-0000-00002A010000}"/>
    <cellStyle name="Bad 5" xfId="300" xr:uid="{00000000-0005-0000-0000-00002B010000}"/>
    <cellStyle name="Bad 6" xfId="301" xr:uid="{00000000-0005-0000-0000-00002C010000}"/>
    <cellStyle name="Bad 7" xfId="302" xr:uid="{00000000-0005-0000-0000-00002D010000}"/>
    <cellStyle name="Bad 8" xfId="303" xr:uid="{00000000-0005-0000-0000-00002E010000}"/>
    <cellStyle name="Bad 9" xfId="304" xr:uid="{00000000-0005-0000-0000-00002F010000}"/>
    <cellStyle name="Calculation 10" xfId="305" xr:uid="{00000000-0005-0000-0000-000030010000}"/>
    <cellStyle name="Calculation 11" xfId="306" xr:uid="{00000000-0005-0000-0000-000031010000}"/>
    <cellStyle name="Calculation 12" xfId="307" xr:uid="{00000000-0005-0000-0000-000032010000}"/>
    <cellStyle name="Calculation 13" xfId="308" xr:uid="{00000000-0005-0000-0000-000033010000}"/>
    <cellStyle name="Calculation 2" xfId="309" xr:uid="{00000000-0005-0000-0000-000034010000}"/>
    <cellStyle name="Calculation 3" xfId="310" xr:uid="{00000000-0005-0000-0000-000035010000}"/>
    <cellStyle name="Calculation 4" xfId="311" xr:uid="{00000000-0005-0000-0000-000036010000}"/>
    <cellStyle name="Calculation 5" xfId="312" xr:uid="{00000000-0005-0000-0000-000037010000}"/>
    <cellStyle name="Calculation 6" xfId="313" xr:uid="{00000000-0005-0000-0000-000038010000}"/>
    <cellStyle name="Calculation 7" xfId="314" xr:uid="{00000000-0005-0000-0000-000039010000}"/>
    <cellStyle name="Calculation 8" xfId="315" xr:uid="{00000000-0005-0000-0000-00003A010000}"/>
    <cellStyle name="Calculation 9" xfId="316" xr:uid="{00000000-0005-0000-0000-00003B010000}"/>
    <cellStyle name="Check Cell 10" xfId="317" xr:uid="{00000000-0005-0000-0000-00003C010000}"/>
    <cellStyle name="Check Cell 11" xfId="318" xr:uid="{00000000-0005-0000-0000-00003D010000}"/>
    <cellStyle name="Check Cell 12" xfId="319" xr:uid="{00000000-0005-0000-0000-00003E010000}"/>
    <cellStyle name="Check Cell 13" xfId="320" xr:uid="{00000000-0005-0000-0000-00003F010000}"/>
    <cellStyle name="Check Cell 2" xfId="321" xr:uid="{00000000-0005-0000-0000-000040010000}"/>
    <cellStyle name="Check Cell 3" xfId="322" xr:uid="{00000000-0005-0000-0000-000041010000}"/>
    <cellStyle name="Check Cell 4" xfId="323" xr:uid="{00000000-0005-0000-0000-000042010000}"/>
    <cellStyle name="Check Cell 5" xfId="324" xr:uid="{00000000-0005-0000-0000-000043010000}"/>
    <cellStyle name="Check Cell 6" xfId="325" xr:uid="{00000000-0005-0000-0000-000044010000}"/>
    <cellStyle name="Check Cell 7" xfId="326" xr:uid="{00000000-0005-0000-0000-000045010000}"/>
    <cellStyle name="Check Cell 8" xfId="327" xr:uid="{00000000-0005-0000-0000-000046010000}"/>
    <cellStyle name="Check Cell 9" xfId="328" xr:uid="{00000000-0005-0000-0000-000047010000}"/>
    <cellStyle name="ColumnHeading" xfId="329" xr:uid="{00000000-0005-0000-0000-000048010000}"/>
    <cellStyle name="Comma" xfId="330" builtinId="3"/>
    <cellStyle name="Comma 10" xfId="331" xr:uid="{00000000-0005-0000-0000-00004A010000}"/>
    <cellStyle name="Comma 11" xfId="332" xr:uid="{00000000-0005-0000-0000-00004B010000}"/>
    <cellStyle name="Comma 11 2" xfId="333" xr:uid="{00000000-0005-0000-0000-00004C010000}"/>
    <cellStyle name="Comma 11 3" xfId="334" xr:uid="{00000000-0005-0000-0000-00004D010000}"/>
    <cellStyle name="Comma 12" xfId="335" xr:uid="{00000000-0005-0000-0000-00004E010000}"/>
    <cellStyle name="Comma 13" xfId="336" xr:uid="{00000000-0005-0000-0000-00004F010000}"/>
    <cellStyle name="Comma 14" xfId="337" xr:uid="{00000000-0005-0000-0000-000050010000}"/>
    <cellStyle name="Comma 15" xfId="338" xr:uid="{00000000-0005-0000-0000-000051010000}"/>
    <cellStyle name="Comma 16" xfId="339" xr:uid="{00000000-0005-0000-0000-000052010000}"/>
    <cellStyle name="Comma 17" xfId="340" xr:uid="{00000000-0005-0000-0000-000053010000}"/>
    <cellStyle name="Comma 18" xfId="341" xr:uid="{00000000-0005-0000-0000-000054010000}"/>
    <cellStyle name="Comma 2" xfId="342" xr:uid="{00000000-0005-0000-0000-000055010000}"/>
    <cellStyle name="Comma 2 10" xfId="343" xr:uid="{00000000-0005-0000-0000-000056010000}"/>
    <cellStyle name="Comma 2 11" xfId="344" xr:uid="{00000000-0005-0000-0000-000057010000}"/>
    <cellStyle name="Comma 2 12" xfId="345" xr:uid="{00000000-0005-0000-0000-000058010000}"/>
    <cellStyle name="Comma 2 13" xfId="346" xr:uid="{00000000-0005-0000-0000-000059010000}"/>
    <cellStyle name="Comma 2 14" xfId="347" xr:uid="{00000000-0005-0000-0000-00005A010000}"/>
    <cellStyle name="Comma 2 2" xfId="348" xr:uid="{00000000-0005-0000-0000-00005B010000}"/>
    <cellStyle name="Comma 2 2 10" xfId="349" xr:uid="{00000000-0005-0000-0000-00005C010000}"/>
    <cellStyle name="Comma 2 2 11" xfId="350" xr:uid="{00000000-0005-0000-0000-00005D010000}"/>
    <cellStyle name="Comma 2 2 12" xfId="351" xr:uid="{00000000-0005-0000-0000-00005E010000}"/>
    <cellStyle name="Comma 2 2 13" xfId="352" xr:uid="{00000000-0005-0000-0000-00005F010000}"/>
    <cellStyle name="Comma 2 2 2" xfId="353" xr:uid="{00000000-0005-0000-0000-000060010000}"/>
    <cellStyle name="Comma 2 2 3" xfId="354" xr:uid="{00000000-0005-0000-0000-000061010000}"/>
    <cellStyle name="Comma 2 2 4" xfId="355" xr:uid="{00000000-0005-0000-0000-000062010000}"/>
    <cellStyle name="Comma 2 2 5" xfId="356" xr:uid="{00000000-0005-0000-0000-000063010000}"/>
    <cellStyle name="Comma 2 2 6" xfId="357" xr:uid="{00000000-0005-0000-0000-000064010000}"/>
    <cellStyle name="Comma 2 2 7" xfId="358" xr:uid="{00000000-0005-0000-0000-000065010000}"/>
    <cellStyle name="Comma 2 2 8" xfId="359" xr:uid="{00000000-0005-0000-0000-000066010000}"/>
    <cellStyle name="Comma 2 2 9" xfId="360" xr:uid="{00000000-0005-0000-0000-000067010000}"/>
    <cellStyle name="Comma 2 3" xfId="361" xr:uid="{00000000-0005-0000-0000-000068010000}"/>
    <cellStyle name="Comma 2 3 10" xfId="362" xr:uid="{00000000-0005-0000-0000-000069010000}"/>
    <cellStyle name="Comma 2 3 11" xfId="363" xr:uid="{00000000-0005-0000-0000-00006A010000}"/>
    <cellStyle name="Comma 2 3 12" xfId="364" xr:uid="{00000000-0005-0000-0000-00006B010000}"/>
    <cellStyle name="Comma 2 3 2" xfId="365" xr:uid="{00000000-0005-0000-0000-00006C010000}"/>
    <cellStyle name="Comma 2 3 3" xfId="366" xr:uid="{00000000-0005-0000-0000-00006D010000}"/>
    <cellStyle name="Comma 2 3 4" xfId="367" xr:uid="{00000000-0005-0000-0000-00006E010000}"/>
    <cellStyle name="Comma 2 3 5" xfId="368" xr:uid="{00000000-0005-0000-0000-00006F010000}"/>
    <cellStyle name="Comma 2 3 6" xfId="369" xr:uid="{00000000-0005-0000-0000-000070010000}"/>
    <cellStyle name="Comma 2 3 7" xfId="370" xr:uid="{00000000-0005-0000-0000-000071010000}"/>
    <cellStyle name="Comma 2 3 8" xfId="371" xr:uid="{00000000-0005-0000-0000-000072010000}"/>
    <cellStyle name="Comma 2 3 9" xfId="372" xr:uid="{00000000-0005-0000-0000-000073010000}"/>
    <cellStyle name="Comma 2 4" xfId="373" xr:uid="{00000000-0005-0000-0000-000074010000}"/>
    <cellStyle name="Comma 2 5" xfId="374" xr:uid="{00000000-0005-0000-0000-000075010000}"/>
    <cellStyle name="Comma 2 6" xfId="375" xr:uid="{00000000-0005-0000-0000-000076010000}"/>
    <cellStyle name="Comma 2 7" xfId="376" xr:uid="{00000000-0005-0000-0000-000077010000}"/>
    <cellStyle name="Comma 2 8" xfId="377" xr:uid="{00000000-0005-0000-0000-000078010000}"/>
    <cellStyle name="Comma 2 9" xfId="378" xr:uid="{00000000-0005-0000-0000-000079010000}"/>
    <cellStyle name="Comma 20" xfId="379" xr:uid="{00000000-0005-0000-0000-00007A010000}"/>
    <cellStyle name="Comma 28" xfId="380" xr:uid="{00000000-0005-0000-0000-00007B010000}"/>
    <cellStyle name="Comma 3" xfId="381" xr:uid="{00000000-0005-0000-0000-00007C010000}"/>
    <cellStyle name="Comma 3 10" xfId="382" xr:uid="{00000000-0005-0000-0000-00007D010000}"/>
    <cellStyle name="Comma 3 11" xfId="383" xr:uid="{00000000-0005-0000-0000-00007E010000}"/>
    <cellStyle name="Comma 3 12" xfId="384" xr:uid="{00000000-0005-0000-0000-00007F010000}"/>
    <cellStyle name="Comma 3 2" xfId="385" xr:uid="{00000000-0005-0000-0000-000080010000}"/>
    <cellStyle name="Comma 3 3" xfId="386" xr:uid="{00000000-0005-0000-0000-000081010000}"/>
    <cellStyle name="Comma 3 4" xfId="387" xr:uid="{00000000-0005-0000-0000-000082010000}"/>
    <cellStyle name="Comma 3 5" xfId="388" xr:uid="{00000000-0005-0000-0000-000083010000}"/>
    <cellStyle name="Comma 3 6" xfId="389" xr:uid="{00000000-0005-0000-0000-000084010000}"/>
    <cellStyle name="Comma 3 7" xfId="390" xr:uid="{00000000-0005-0000-0000-000085010000}"/>
    <cellStyle name="Comma 3 8" xfId="391" xr:uid="{00000000-0005-0000-0000-000086010000}"/>
    <cellStyle name="Comma 3 9" xfId="392" xr:uid="{00000000-0005-0000-0000-000087010000}"/>
    <cellStyle name="Comma 4" xfId="393" xr:uid="{00000000-0005-0000-0000-000088010000}"/>
    <cellStyle name="Comma 4 10" xfId="394" xr:uid="{00000000-0005-0000-0000-000089010000}"/>
    <cellStyle name="Comma 4 11" xfId="395" xr:uid="{00000000-0005-0000-0000-00008A010000}"/>
    <cellStyle name="Comma 4 12" xfId="396" xr:uid="{00000000-0005-0000-0000-00008B010000}"/>
    <cellStyle name="Comma 4 2" xfId="397" xr:uid="{00000000-0005-0000-0000-00008C010000}"/>
    <cellStyle name="Comma 4 3" xfId="398" xr:uid="{00000000-0005-0000-0000-00008D010000}"/>
    <cellStyle name="Comma 4 4" xfId="399" xr:uid="{00000000-0005-0000-0000-00008E010000}"/>
    <cellStyle name="Comma 4 5" xfId="400" xr:uid="{00000000-0005-0000-0000-00008F010000}"/>
    <cellStyle name="Comma 4 6" xfId="401" xr:uid="{00000000-0005-0000-0000-000090010000}"/>
    <cellStyle name="Comma 4 7" xfId="402" xr:uid="{00000000-0005-0000-0000-000091010000}"/>
    <cellStyle name="Comma 4 8" xfId="403" xr:uid="{00000000-0005-0000-0000-000092010000}"/>
    <cellStyle name="Comma 4 9" xfId="404" xr:uid="{00000000-0005-0000-0000-000093010000}"/>
    <cellStyle name="Comma 5" xfId="405" xr:uid="{00000000-0005-0000-0000-000094010000}"/>
    <cellStyle name="Comma 5 10" xfId="406" xr:uid="{00000000-0005-0000-0000-000095010000}"/>
    <cellStyle name="Comma 5 2" xfId="407" xr:uid="{00000000-0005-0000-0000-000096010000}"/>
    <cellStyle name="Comma 5 3" xfId="408" xr:uid="{00000000-0005-0000-0000-000097010000}"/>
    <cellStyle name="Comma 5 4" xfId="409" xr:uid="{00000000-0005-0000-0000-000098010000}"/>
    <cellStyle name="Comma 5 5" xfId="410" xr:uid="{00000000-0005-0000-0000-000099010000}"/>
    <cellStyle name="Comma 5 6" xfId="411" xr:uid="{00000000-0005-0000-0000-00009A010000}"/>
    <cellStyle name="Comma 5 7" xfId="412" xr:uid="{00000000-0005-0000-0000-00009B010000}"/>
    <cellStyle name="Comma 5 8" xfId="413" xr:uid="{00000000-0005-0000-0000-00009C010000}"/>
    <cellStyle name="Comma 5 9" xfId="414" xr:uid="{00000000-0005-0000-0000-00009D010000}"/>
    <cellStyle name="Comma 6" xfId="415" xr:uid="{00000000-0005-0000-0000-00009E010000}"/>
    <cellStyle name="Comma 6 10" xfId="416" xr:uid="{00000000-0005-0000-0000-00009F010000}"/>
    <cellStyle name="Comma 6 2" xfId="417" xr:uid="{00000000-0005-0000-0000-0000A0010000}"/>
    <cellStyle name="Comma 6 3" xfId="418" xr:uid="{00000000-0005-0000-0000-0000A1010000}"/>
    <cellStyle name="Comma 6 4" xfId="419" xr:uid="{00000000-0005-0000-0000-0000A2010000}"/>
    <cellStyle name="Comma 6 5" xfId="420" xr:uid="{00000000-0005-0000-0000-0000A3010000}"/>
    <cellStyle name="Comma 6 6" xfId="421" xr:uid="{00000000-0005-0000-0000-0000A4010000}"/>
    <cellStyle name="Comma 6 7" xfId="422" xr:uid="{00000000-0005-0000-0000-0000A5010000}"/>
    <cellStyle name="Comma 6 8" xfId="423" xr:uid="{00000000-0005-0000-0000-0000A6010000}"/>
    <cellStyle name="Comma 6 9" xfId="424" xr:uid="{00000000-0005-0000-0000-0000A7010000}"/>
    <cellStyle name="Comma 7" xfId="425" xr:uid="{00000000-0005-0000-0000-0000A8010000}"/>
    <cellStyle name="Comma 8" xfId="426" xr:uid="{00000000-0005-0000-0000-0000A9010000}"/>
    <cellStyle name="Comma 9" xfId="427" xr:uid="{00000000-0005-0000-0000-0000AA010000}"/>
    <cellStyle name="Currency" xfId="428" builtinId="4"/>
    <cellStyle name="Currency 2" xfId="429" xr:uid="{00000000-0005-0000-0000-0000AC010000}"/>
    <cellStyle name="Currency 3" xfId="430" xr:uid="{00000000-0005-0000-0000-0000AD010000}"/>
    <cellStyle name="Currency 4" xfId="431" xr:uid="{00000000-0005-0000-0000-0000AE010000}"/>
    <cellStyle name="D" xfId="432" xr:uid="{00000000-0005-0000-0000-0000AF010000}"/>
    <cellStyle name="D_Book2" xfId="433" xr:uid="{00000000-0005-0000-0000-0000B0010000}"/>
    <cellStyle name="D_Budget FY 2007 Monthly FTE" xfId="434" xr:uid="{00000000-0005-0000-0000-0000B1010000}"/>
    <cellStyle name="D_Mercy Cash Projections - Draft 020607" xfId="435" xr:uid="{00000000-0005-0000-0000-0000B2010000}"/>
    <cellStyle name="Data Entry Color" xfId="436" xr:uid="{00000000-0005-0000-0000-0000B3010000}"/>
    <cellStyle name="Data Reference" xfId="437" xr:uid="{00000000-0005-0000-0000-0000B4010000}"/>
    <cellStyle name="Date" xfId="438" xr:uid="{00000000-0005-0000-0000-0000B5010000}"/>
    <cellStyle name="DATETIME" xfId="439" xr:uid="{00000000-0005-0000-0000-0000B6010000}"/>
    <cellStyle name="EvenBodyShade" xfId="440" xr:uid="{00000000-0005-0000-0000-0000B7010000}"/>
    <cellStyle name="Explanatory Text 10" xfId="441" xr:uid="{00000000-0005-0000-0000-0000B8010000}"/>
    <cellStyle name="Explanatory Text 11" xfId="442" xr:uid="{00000000-0005-0000-0000-0000B9010000}"/>
    <cellStyle name="Explanatory Text 12" xfId="443" xr:uid="{00000000-0005-0000-0000-0000BA010000}"/>
    <cellStyle name="Explanatory Text 13" xfId="444" xr:uid="{00000000-0005-0000-0000-0000BB010000}"/>
    <cellStyle name="Explanatory Text 2" xfId="445" xr:uid="{00000000-0005-0000-0000-0000BC010000}"/>
    <cellStyle name="Explanatory Text 3" xfId="446" xr:uid="{00000000-0005-0000-0000-0000BD010000}"/>
    <cellStyle name="Explanatory Text 4" xfId="447" xr:uid="{00000000-0005-0000-0000-0000BE010000}"/>
    <cellStyle name="Explanatory Text 5" xfId="448" xr:uid="{00000000-0005-0000-0000-0000BF010000}"/>
    <cellStyle name="Explanatory Text 6" xfId="449" xr:uid="{00000000-0005-0000-0000-0000C0010000}"/>
    <cellStyle name="Explanatory Text 7" xfId="450" xr:uid="{00000000-0005-0000-0000-0000C1010000}"/>
    <cellStyle name="Explanatory Text 8" xfId="451" xr:uid="{00000000-0005-0000-0000-0000C2010000}"/>
    <cellStyle name="Explanatory Text 9" xfId="452" xr:uid="{00000000-0005-0000-0000-0000C3010000}"/>
    <cellStyle name="F1" xfId="453" xr:uid="{00000000-0005-0000-0000-0000C4010000}"/>
    <cellStyle name="Fixed" xfId="454" xr:uid="{00000000-0005-0000-0000-0000C5010000}"/>
    <cellStyle name="Good 10" xfId="455" xr:uid="{00000000-0005-0000-0000-0000C6010000}"/>
    <cellStyle name="Good 11" xfId="456" xr:uid="{00000000-0005-0000-0000-0000C7010000}"/>
    <cellStyle name="Good 12" xfId="457" xr:uid="{00000000-0005-0000-0000-0000C8010000}"/>
    <cellStyle name="Good 13" xfId="458" xr:uid="{00000000-0005-0000-0000-0000C9010000}"/>
    <cellStyle name="Good 2" xfId="459" xr:uid="{00000000-0005-0000-0000-0000CA010000}"/>
    <cellStyle name="Good 3" xfId="460" xr:uid="{00000000-0005-0000-0000-0000CB010000}"/>
    <cellStyle name="Good 4" xfId="461" xr:uid="{00000000-0005-0000-0000-0000CC010000}"/>
    <cellStyle name="Good 5" xfId="462" xr:uid="{00000000-0005-0000-0000-0000CD010000}"/>
    <cellStyle name="Good 6" xfId="463" xr:uid="{00000000-0005-0000-0000-0000CE010000}"/>
    <cellStyle name="Good 7" xfId="464" xr:uid="{00000000-0005-0000-0000-0000CF010000}"/>
    <cellStyle name="Good 8" xfId="465" xr:uid="{00000000-0005-0000-0000-0000D0010000}"/>
    <cellStyle name="Good 9" xfId="466" xr:uid="{00000000-0005-0000-0000-0000D1010000}"/>
    <cellStyle name="GrandTotal" xfId="467" xr:uid="{00000000-0005-0000-0000-0000D2010000}"/>
    <cellStyle name="Grey" xfId="468" xr:uid="{00000000-0005-0000-0000-0000D3010000}"/>
    <cellStyle name="Head0" xfId="469" xr:uid="{00000000-0005-0000-0000-0000D4010000}"/>
    <cellStyle name="Head1" xfId="470" xr:uid="{00000000-0005-0000-0000-0000D5010000}"/>
    <cellStyle name="Head2" xfId="471" xr:uid="{00000000-0005-0000-0000-0000D6010000}"/>
    <cellStyle name="Head3" xfId="472" xr:uid="{00000000-0005-0000-0000-0000D7010000}"/>
    <cellStyle name="Head4" xfId="473" xr:uid="{00000000-0005-0000-0000-0000D8010000}"/>
    <cellStyle name="Head5" xfId="474" xr:uid="{00000000-0005-0000-0000-0000D9010000}"/>
    <cellStyle name="Head6" xfId="475" xr:uid="{00000000-0005-0000-0000-0000DA010000}"/>
    <cellStyle name="Head7" xfId="476" xr:uid="{00000000-0005-0000-0000-0000DB010000}"/>
    <cellStyle name="Head8" xfId="477" xr:uid="{00000000-0005-0000-0000-0000DC010000}"/>
    <cellStyle name="Head9" xfId="478" xr:uid="{00000000-0005-0000-0000-0000DD010000}"/>
    <cellStyle name="Header1" xfId="479" xr:uid="{00000000-0005-0000-0000-0000DE010000}"/>
    <cellStyle name="Header2" xfId="480" xr:uid="{00000000-0005-0000-0000-0000DF010000}"/>
    <cellStyle name="Heading 1 10" xfId="481" xr:uid="{00000000-0005-0000-0000-0000E0010000}"/>
    <cellStyle name="Heading 1 11" xfId="482" xr:uid="{00000000-0005-0000-0000-0000E1010000}"/>
    <cellStyle name="Heading 1 12" xfId="483" xr:uid="{00000000-0005-0000-0000-0000E2010000}"/>
    <cellStyle name="Heading 1 13" xfId="484" xr:uid="{00000000-0005-0000-0000-0000E3010000}"/>
    <cellStyle name="Heading 1 2" xfId="485" xr:uid="{00000000-0005-0000-0000-0000E4010000}"/>
    <cellStyle name="Heading 1 3" xfId="486" xr:uid="{00000000-0005-0000-0000-0000E5010000}"/>
    <cellStyle name="Heading 1 4" xfId="487" xr:uid="{00000000-0005-0000-0000-0000E6010000}"/>
    <cellStyle name="Heading 1 5" xfId="488" xr:uid="{00000000-0005-0000-0000-0000E7010000}"/>
    <cellStyle name="Heading 1 6" xfId="489" xr:uid="{00000000-0005-0000-0000-0000E8010000}"/>
    <cellStyle name="Heading 1 7" xfId="490" xr:uid="{00000000-0005-0000-0000-0000E9010000}"/>
    <cellStyle name="Heading 1 8" xfId="491" xr:uid="{00000000-0005-0000-0000-0000EA010000}"/>
    <cellStyle name="Heading 1 9" xfId="492" xr:uid="{00000000-0005-0000-0000-0000EB010000}"/>
    <cellStyle name="Heading 2 10" xfId="493" xr:uid="{00000000-0005-0000-0000-0000EC010000}"/>
    <cellStyle name="Heading 2 11" xfId="494" xr:uid="{00000000-0005-0000-0000-0000ED010000}"/>
    <cellStyle name="Heading 2 12" xfId="495" xr:uid="{00000000-0005-0000-0000-0000EE010000}"/>
    <cellStyle name="Heading 2 13" xfId="496" xr:uid="{00000000-0005-0000-0000-0000EF010000}"/>
    <cellStyle name="Heading 2 2" xfId="497" xr:uid="{00000000-0005-0000-0000-0000F0010000}"/>
    <cellStyle name="Heading 2 3" xfId="498" xr:uid="{00000000-0005-0000-0000-0000F1010000}"/>
    <cellStyle name="Heading 2 4" xfId="499" xr:uid="{00000000-0005-0000-0000-0000F2010000}"/>
    <cellStyle name="Heading 2 5" xfId="500" xr:uid="{00000000-0005-0000-0000-0000F3010000}"/>
    <cellStyle name="Heading 2 6" xfId="501" xr:uid="{00000000-0005-0000-0000-0000F4010000}"/>
    <cellStyle name="Heading 2 7" xfId="502" xr:uid="{00000000-0005-0000-0000-0000F5010000}"/>
    <cellStyle name="Heading 2 8" xfId="503" xr:uid="{00000000-0005-0000-0000-0000F6010000}"/>
    <cellStyle name="Heading 2 9" xfId="504" xr:uid="{00000000-0005-0000-0000-0000F7010000}"/>
    <cellStyle name="Heading 3 10" xfId="505" xr:uid="{00000000-0005-0000-0000-0000F8010000}"/>
    <cellStyle name="Heading 3 11" xfId="506" xr:uid="{00000000-0005-0000-0000-0000F9010000}"/>
    <cellStyle name="Heading 3 12" xfId="507" xr:uid="{00000000-0005-0000-0000-0000FA010000}"/>
    <cellStyle name="Heading 3 13" xfId="508" xr:uid="{00000000-0005-0000-0000-0000FB010000}"/>
    <cellStyle name="Heading 3 2" xfId="509" xr:uid="{00000000-0005-0000-0000-0000FC010000}"/>
    <cellStyle name="Heading 3 3" xfId="510" xr:uid="{00000000-0005-0000-0000-0000FD010000}"/>
    <cellStyle name="Heading 3 4" xfId="511" xr:uid="{00000000-0005-0000-0000-0000FE010000}"/>
    <cellStyle name="Heading 3 5" xfId="512" xr:uid="{00000000-0005-0000-0000-0000FF010000}"/>
    <cellStyle name="Heading 3 6" xfId="513" xr:uid="{00000000-0005-0000-0000-000000020000}"/>
    <cellStyle name="Heading 3 7" xfId="514" xr:uid="{00000000-0005-0000-0000-000001020000}"/>
    <cellStyle name="Heading 3 8" xfId="515" xr:uid="{00000000-0005-0000-0000-000002020000}"/>
    <cellStyle name="Heading 3 9" xfId="516" xr:uid="{00000000-0005-0000-0000-000003020000}"/>
    <cellStyle name="Heading 4 10" xfId="517" xr:uid="{00000000-0005-0000-0000-000004020000}"/>
    <cellStyle name="Heading 4 11" xfId="518" xr:uid="{00000000-0005-0000-0000-000005020000}"/>
    <cellStyle name="Heading 4 12" xfId="519" xr:uid="{00000000-0005-0000-0000-000006020000}"/>
    <cellStyle name="Heading 4 13" xfId="520" xr:uid="{00000000-0005-0000-0000-000007020000}"/>
    <cellStyle name="Heading 4 2" xfId="521" xr:uid="{00000000-0005-0000-0000-000008020000}"/>
    <cellStyle name="Heading 4 3" xfId="522" xr:uid="{00000000-0005-0000-0000-000009020000}"/>
    <cellStyle name="Heading 4 4" xfId="523" xr:uid="{00000000-0005-0000-0000-00000A020000}"/>
    <cellStyle name="Heading 4 5" xfId="524" xr:uid="{00000000-0005-0000-0000-00000B020000}"/>
    <cellStyle name="Heading 4 6" xfId="525" xr:uid="{00000000-0005-0000-0000-00000C020000}"/>
    <cellStyle name="Heading 4 7" xfId="526" xr:uid="{00000000-0005-0000-0000-00000D020000}"/>
    <cellStyle name="Heading 4 8" xfId="527" xr:uid="{00000000-0005-0000-0000-00000E020000}"/>
    <cellStyle name="Heading 4 9" xfId="528" xr:uid="{00000000-0005-0000-0000-00000F020000}"/>
    <cellStyle name="HeadShade" xfId="529" xr:uid="{00000000-0005-0000-0000-000010020000}"/>
    <cellStyle name="Hyperlink" xfId="1038" builtinId="8"/>
    <cellStyle name="I" xfId="530" xr:uid="{00000000-0005-0000-0000-000012020000}"/>
    <cellStyle name="I_Book2" xfId="531" xr:uid="{00000000-0005-0000-0000-000013020000}"/>
    <cellStyle name="I_Budget FY 2007 Monthly FTE" xfId="532" xr:uid="{00000000-0005-0000-0000-000014020000}"/>
    <cellStyle name="I_Mercy Cash Projections - Draft 020607" xfId="533" xr:uid="{00000000-0005-0000-0000-000015020000}"/>
    <cellStyle name="Input [yellow]" xfId="534" xr:uid="{00000000-0005-0000-0000-000016020000}"/>
    <cellStyle name="Input 10" xfId="535" xr:uid="{00000000-0005-0000-0000-000017020000}"/>
    <cellStyle name="Input 11" xfId="536" xr:uid="{00000000-0005-0000-0000-000018020000}"/>
    <cellStyle name="Input 12" xfId="537" xr:uid="{00000000-0005-0000-0000-000019020000}"/>
    <cellStyle name="Input 13" xfId="538" xr:uid="{00000000-0005-0000-0000-00001A020000}"/>
    <cellStyle name="Input 2" xfId="539" xr:uid="{00000000-0005-0000-0000-00001B020000}"/>
    <cellStyle name="Input 3" xfId="540" xr:uid="{00000000-0005-0000-0000-00001C020000}"/>
    <cellStyle name="Input 4" xfId="541" xr:uid="{00000000-0005-0000-0000-00001D020000}"/>
    <cellStyle name="Input 5" xfId="542" xr:uid="{00000000-0005-0000-0000-00001E020000}"/>
    <cellStyle name="Input 6" xfId="543" xr:uid="{00000000-0005-0000-0000-00001F020000}"/>
    <cellStyle name="Input 7" xfId="544" xr:uid="{00000000-0005-0000-0000-000020020000}"/>
    <cellStyle name="Input 8" xfId="545" xr:uid="{00000000-0005-0000-0000-000021020000}"/>
    <cellStyle name="Input 9" xfId="546" xr:uid="{00000000-0005-0000-0000-000022020000}"/>
    <cellStyle name="Linked Cell 10" xfId="547" xr:uid="{00000000-0005-0000-0000-000023020000}"/>
    <cellStyle name="Linked Cell 11" xfId="548" xr:uid="{00000000-0005-0000-0000-000024020000}"/>
    <cellStyle name="Linked Cell 12" xfId="549" xr:uid="{00000000-0005-0000-0000-000025020000}"/>
    <cellStyle name="Linked Cell 13" xfId="550" xr:uid="{00000000-0005-0000-0000-000026020000}"/>
    <cellStyle name="Linked Cell 2" xfId="551" xr:uid="{00000000-0005-0000-0000-000027020000}"/>
    <cellStyle name="Linked Cell 3" xfId="552" xr:uid="{00000000-0005-0000-0000-000028020000}"/>
    <cellStyle name="Linked Cell 4" xfId="553" xr:uid="{00000000-0005-0000-0000-000029020000}"/>
    <cellStyle name="Linked Cell 5" xfId="554" xr:uid="{00000000-0005-0000-0000-00002A020000}"/>
    <cellStyle name="Linked Cell 6" xfId="555" xr:uid="{00000000-0005-0000-0000-00002B020000}"/>
    <cellStyle name="Linked Cell 7" xfId="556" xr:uid="{00000000-0005-0000-0000-00002C020000}"/>
    <cellStyle name="Linked Cell 8" xfId="557" xr:uid="{00000000-0005-0000-0000-00002D020000}"/>
    <cellStyle name="Linked Cell 9" xfId="558" xr:uid="{00000000-0005-0000-0000-00002E020000}"/>
    <cellStyle name="M" xfId="559" xr:uid="{00000000-0005-0000-0000-00002F020000}"/>
    <cellStyle name="M_Book2" xfId="560" xr:uid="{00000000-0005-0000-0000-000030020000}"/>
    <cellStyle name="M_Budget FY 2007 Monthly FTE" xfId="561" xr:uid="{00000000-0005-0000-0000-000031020000}"/>
    <cellStyle name="M_Mercy Cash Projections - Draft 020607" xfId="562" xr:uid="{00000000-0005-0000-0000-000032020000}"/>
    <cellStyle name="Neutral 10" xfId="563" xr:uid="{00000000-0005-0000-0000-000033020000}"/>
    <cellStyle name="Neutral 11" xfId="564" xr:uid="{00000000-0005-0000-0000-000034020000}"/>
    <cellStyle name="Neutral 12" xfId="565" xr:uid="{00000000-0005-0000-0000-000035020000}"/>
    <cellStyle name="Neutral 13" xfId="566" xr:uid="{00000000-0005-0000-0000-000036020000}"/>
    <cellStyle name="Neutral 2" xfId="567" xr:uid="{00000000-0005-0000-0000-000037020000}"/>
    <cellStyle name="Neutral 3" xfId="568" xr:uid="{00000000-0005-0000-0000-000038020000}"/>
    <cellStyle name="Neutral 4" xfId="569" xr:uid="{00000000-0005-0000-0000-000039020000}"/>
    <cellStyle name="Neutral 5" xfId="570" xr:uid="{00000000-0005-0000-0000-00003A020000}"/>
    <cellStyle name="Neutral 6" xfId="571" xr:uid="{00000000-0005-0000-0000-00003B020000}"/>
    <cellStyle name="Neutral 7" xfId="572" xr:uid="{00000000-0005-0000-0000-00003C020000}"/>
    <cellStyle name="Neutral 8" xfId="573" xr:uid="{00000000-0005-0000-0000-00003D020000}"/>
    <cellStyle name="Neutral 9" xfId="574" xr:uid="{00000000-0005-0000-0000-00003E020000}"/>
    <cellStyle name="no dec" xfId="575" xr:uid="{00000000-0005-0000-0000-00003F020000}"/>
    <cellStyle name="Normal" xfId="0" builtinId="0"/>
    <cellStyle name="Normal - Style1" xfId="576" xr:uid="{00000000-0005-0000-0000-000041020000}"/>
    <cellStyle name="Normal 10" xfId="577" xr:uid="{00000000-0005-0000-0000-000042020000}"/>
    <cellStyle name="Normal 10 2" xfId="578" xr:uid="{00000000-0005-0000-0000-000043020000}"/>
    <cellStyle name="Normal 10 3" xfId="579" xr:uid="{00000000-0005-0000-0000-000044020000}"/>
    <cellStyle name="Normal 10 4" xfId="580" xr:uid="{00000000-0005-0000-0000-000045020000}"/>
    <cellStyle name="Normal 10 4 2" xfId="581" xr:uid="{00000000-0005-0000-0000-000046020000}"/>
    <cellStyle name="Normal 10 4 2 2" xfId="582" xr:uid="{00000000-0005-0000-0000-000047020000}"/>
    <cellStyle name="Normal 11" xfId="583" xr:uid="{00000000-0005-0000-0000-000048020000}"/>
    <cellStyle name="Normal 12" xfId="584" xr:uid="{00000000-0005-0000-0000-000049020000}"/>
    <cellStyle name="Normal 12 2" xfId="585" xr:uid="{00000000-0005-0000-0000-00004A020000}"/>
    <cellStyle name="Normal 13" xfId="586" xr:uid="{00000000-0005-0000-0000-00004B020000}"/>
    <cellStyle name="Normal 14" xfId="587" xr:uid="{00000000-0005-0000-0000-00004C020000}"/>
    <cellStyle name="Normal 15" xfId="588" xr:uid="{00000000-0005-0000-0000-00004D020000}"/>
    <cellStyle name="Normal 15 2" xfId="589" xr:uid="{00000000-0005-0000-0000-00004E020000}"/>
    <cellStyle name="Normal 16" xfId="590" xr:uid="{00000000-0005-0000-0000-00004F020000}"/>
    <cellStyle name="Normal 17" xfId="591" xr:uid="{00000000-0005-0000-0000-000050020000}"/>
    <cellStyle name="Normal 17 2" xfId="592" xr:uid="{00000000-0005-0000-0000-000051020000}"/>
    <cellStyle name="Normal 17 3" xfId="593" xr:uid="{00000000-0005-0000-0000-000052020000}"/>
    <cellStyle name="Normal 18" xfId="594" xr:uid="{00000000-0005-0000-0000-000053020000}"/>
    <cellStyle name="Normal 19" xfId="595" xr:uid="{00000000-0005-0000-0000-000054020000}"/>
    <cellStyle name="Normal 2" xfId="596" xr:uid="{00000000-0005-0000-0000-000055020000}"/>
    <cellStyle name="Normal 2 10" xfId="597" xr:uid="{00000000-0005-0000-0000-000056020000}"/>
    <cellStyle name="Normal 2 11" xfId="598" xr:uid="{00000000-0005-0000-0000-000057020000}"/>
    <cellStyle name="Normal 2 12" xfId="599" xr:uid="{00000000-0005-0000-0000-000058020000}"/>
    <cellStyle name="Normal 2 13" xfId="600" xr:uid="{00000000-0005-0000-0000-000059020000}"/>
    <cellStyle name="Normal 2 14" xfId="601" xr:uid="{00000000-0005-0000-0000-00005A020000}"/>
    <cellStyle name="Normal 2 14 2" xfId="602" xr:uid="{00000000-0005-0000-0000-00005B020000}"/>
    <cellStyle name="Normal 2 15" xfId="603" xr:uid="{00000000-0005-0000-0000-00005C020000}"/>
    <cellStyle name="Normal 2 16" xfId="604" xr:uid="{00000000-0005-0000-0000-00005D020000}"/>
    <cellStyle name="Normal 2 17" xfId="605" xr:uid="{00000000-0005-0000-0000-00005E020000}"/>
    <cellStyle name="Normal 2 18" xfId="606" xr:uid="{00000000-0005-0000-0000-00005F020000}"/>
    <cellStyle name="Normal 2 19" xfId="607" xr:uid="{00000000-0005-0000-0000-000060020000}"/>
    <cellStyle name="Normal 2 2" xfId="608" xr:uid="{00000000-0005-0000-0000-000061020000}"/>
    <cellStyle name="Normal 2 2 2" xfId="609" xr:uid="{00000000-0005-0000-0000-000062020000}"/>
    <cellStyle name="Normal 2 20" xfId="610" xr:uid="{00000000-0005-0000-0000-000063020000}"/>
    <cellStyle name="Normal 2 21" xfId="611" xr:uid="{00000000-0005-0000-0000-000064020000}"/>
    <cellStyle name="Normal 2 22" xfId="612" xr:uid="{00000000-0005-0000-0000-000065020000}"/>
    <cellStyle name="Normal 2 23" xfId="613" xr:uid="{00000000-0005-0000-0000-000066020000}"/>
    <cellStyle name="Normal 2 24" xfId="614" xr:uid="{00000000-0005-0000-0000-000067020000}"/>
    <cellStyle name="Normal 2 25" xfId="615" xr:uid="{00000000-0005-0000-0000-000068020000}"/>
    <cellStyle name="Normal 2 26" xfId="616" xr:uid="{00000000-0005-0000-0000-000069020000}"/>
    <cellStyle name="Normal 2 27" xfId="617" xr:uid="{00000000-0005-0000-0000-00006A020000}"/>
    <cellStyle name="Normal 2 28" xfId="618" xr:uid="{00000000-0005-0000-0000-00006B020000}"/>
    <cellStyle name="Normal 2 29" xfId="619" xr:uid="{00000000-0005-0000-0000-00006C020000}"/>
    <cellStyle name="Normal 2 3" xfId="620" xr:uid="{00000000-0005-0000-0000-00006D020000}"/>
    <cellStyle name="Normal 2 30" xfId="621" xr:uid="{00000000-0005-0000-0000-00006E020000}"/>
    <cellStyle name="Normal 2 31" xfId="622" xr:uid="{00000000-0005-0000-0000-00006F020000}"/>
    <cellStyle name="Normal 2 32" xfId="623" xr:uid="{00000000-0005-0000-0000-000070020000}"/>
    <cellStyle name="Normal 2 4" xfId="624" xr:uid="{00000000-0005-0000-0000-000071020000}"/>
    <cellStyle name="Normal 2 5" xfId="625" xr:uid="{00000000-0005-0000-0000-000072020000}"/>
    <cellStyle name="Normal 2 6" xfId="626" xr:uid="{00000000-0005-0000-0000-000073020000}"/>
    <cellStyle name="Normal 2 7" xfId="627" xr:uid="{00000000-0005-0000-0000-000074020000}"/>
    <cellStyle name="Normal 2 8" xfId="628" xr:uid="{00000000-0005-0000-0000-000075020000}"/>
    <cellStyle name="Normal 2 9" xfId="629" xr:uid="{00000000-0005-0000-0000-000076020000}"/>
    <cellStyle name="Normal 2_Combined Feb 2008 IN PROGRESS" xfId="630" xr:uid="{00000000-0005-0000-0000-000077020000}"/>
    <cellStyle name="Normal 20" xfId="631" xr:uid="{00000000-0005-0000-0000-000078020000}"/>
    <cellStyle name="Normal 20 2" xfId="632" xr:uid="{00000000-0005-0000-0000-000079020000}"/>
    <cellStyle name="Normal 21" xfId="633" xr:uid="{00000000-0005-0000-0000-00007A020000}"/>
    <cellStyle name="Normal 21 2" xfId="634" xr:uid="{00000000-0005-0000-0000-00007B020000}"/>
    <cellStyle name="Normal 22" xfId="635" xr:uid="{00000000-0005-0000-0000-00007C020000}"/>
    <cellStyle name="Normal 22 2" xfId="636" xr:uid="{00000000-0005-0000-0000-00007D020000}"/>
    <cellStyle name="Normal 23" xfId="637" xr:uid="{00000000-0005-0000-0000-00007E020000}"/>
    <cellStyle name="Normal 24" xfId="638" xr:uid="{00000000-0005-0000-0000-00007F020000}"/>
    <cellStyle name="Normal 25" xfId="639" xr:uid="{00000000-0005-0000-0000-000080020000}"/>
    <cellStyle name="Normal 26" xfId="640" xr:uid="{00000000-0005-0000-0000-000081020000}"/>
    <cellStyle name="Normal 27" xfId="641" xr:uid="{00000000-0005-0000-0000-000082020000}"/>
    <cellStyle name="Normal 28" xfId="642" xr:uid="{00000000-0005-0000-0000-000083020000}"/>
    <cellStyle name="Normal 29" xfId="643" xr:uid="{00000000-0005-0000-0000-000084020000}"/>
    <cellStyle name="Normal 3" xfId="644" xr:uid="{00000000-0005-0000-0000-000085020000}"/>
    <cellStyle name="Normal 3 10" xfId="645" xr:uid="{00000000-0005-0000-0000-000086020000}"/>
    <cellStyle name="Normal 3 11" xfId="646" xr:uid="{00000000-0005-0000-0000-000087020000}"/>
    <cellStyle name="Normal 3 12" xfId="647" xr:uid="{00000000-0005-0000-0000-000088020000}"/>
    <cellStyle name="Normal 3 13" xfId="648" xr:uid="{00000000-0005-0000-0000-000089020000}"/>
    <cellStyle name="Normal 3 14" xfId="649" xr:uid="{00000000-0005-0000-0000-00008A020000}"/>
    <cellStyle name="Normal 3 15" xfId="650" xr:uid="{00000000-0005-0000-0000-00008B020000}"/>
    <cellStyle name="Normal 3 16" xfId="651" xr:uid="{00000000-0005-0000-0000-00008C020000}"/>
    <cellStyle name="Normal 3 17" xfId="652" xr:uid="{00000000-0005-0000-0000-00008D020000}"/>
    <cellStyle name="Normal 3 18" xfId="653" xr:uid="{00000000-0005-0000-0000-00008E020000}"/>
    <cellStyle name="Normal 3 19" xfId="654" xr:uid="{00000000-0005-0000-0000-00008F020000}"/>
    <cellStyle name="Normal 3 2" xfId="655" xr:uid="{00000000-0005-0000-0000-000090020000}"/>
    <cellStyle name="Normal 3 2 10" xfId="656" xr:uid="{00000000-0005-0000-0000-000091020000}"/>
    <cellStyle name="Normal 3 2 11" xfId="657" xr:uid="{00000000-0005-0000-0000-000092020000}"/>
    <cellStyle name="Normal 3 2 12" xfId="658" xr:uid="{00000000-0005-0000-0000-000093020000}"/>
    <cellStyle name="Normal 3 2 13" xfId="659" xr:uid="{00000000-0005-0000-0000-000094020000}"/>
    <cellStyle name="Normal 3 2 14" xfId="660" xr:uid="{00000000-0005-0000-0000-000095020000}"/>
    <cellStyle name="Normal 3 2 15" xfId="661" xr:uid="{00000000-0005-0000-0000-000096020000}"/>
    <cellStyle name="Normal 3 2 16" xfId="662" xr:uid="{00000000-0005-0000-0000-000097020000}"/>
    <cellStyle name="Normal 3 2 17" xfId="663" xr:uid="{00000000-0005-0000-0000-000098020000}"/>
    <cellStyle name="Normal 3 2 18" xfId="664" xr:uid="{00000000-0005-0000-0000-000099020000}"/>
    <cellStyle name="Normal 3 2 19" xfId="665" xr:uid="{00000000-0005-0000-0000-00009A020000}"/>
    <cellStyle name="Normal 3 2 2" xfId="666" xr:uid="{00000000-0005-0000-0000-00009B020000}"/>
    <cellStyle name="Normal 3 2 20" xfId="667" xr:uid="{00000000-0005-0000-0000-00009C020000}"/>
    <cellStyle name="Normal 3 2 21" xfId="668" xr:uid="{00000000-0005-0000-0000-00009D020000}"/>
    <cellStyle name="Normal 3 2 22" xfId="669" xr:uid="{00000000-0005-0000-0000-00009E020000}"/>
    <cellStyle name="Normal 3 2 23" xfId="670" xr:uid="{00000000-0005-0000-0000-00009F020000}"/>
    <cellStyle name="Normal 3 2 24" xfId="671" xr:uid="{00000000-0005-0000-0000-0000A0020000}"/>
    <cellStyle name="Normal 3 2 25" xfId="672" xr:uid="{00000000-0005-0000-0000-0000A1020000}"/>
    <cellStyle name="Normal 3 2 26" xfId="673" xr:uid="{00000000-0005-0000-0000-0000A2020000}"/>
    <cellStyle name="Normal 3 2 27" xfId="674" xr:uid="{00000000-0005-0000-0000-0000A3020000}"/>
    <cellStyle name="Normal 3 2 28" xfId="675" xr:uid="{00000000-0005-0000-0000-0000A4020000}"/>
    <cellStyle name="Normal 3 2 29" xfId="676" xr:uid="{00000000-0005-0000-0000-0000A5020000}"/>
    <cellStyle name="Normal 3 2 3" xfId="677" xr:uid="{00000000-0005-0000-0000-0000A6020000}"/>
    <cellStyle name="Normal 3 2 30" xfId="678" xr:uid="{00000000-0005-0000-0000-0000A7020000}"/>
    <cellStyle name="Normal 3 2 31" xfId="679" xr:uid="{00000000-0005-0000-0000-0000A8020000}"/>
    <cellStyle name="Normal 3 2 32" xfId="680" xr:uid="{00000000-0005-0000-0000-0000A9020000}"/>
    <cellStyle name="Normal 3 2 33" xfId="681" xr:uid="{00000000-0005-0000-0000-0000AA020000}"/>
    <cellStyle name="Normal 3 2 34" xfId="682" xr:uid="{00000000-0005-0000-0000-0000AB020000}"/>
    <cellStyle name="Normal 3 2 35" xfId="683" xr:uid="{00000000-0005-0000-0000-0000AC020000}"/>
    <cellStyle name="Normal 3 2 36" xfId="684" xr:uid="{00000000-0005-0000-0000-0000AD020000}"/>
    <cellStyle name="Normal 3 2 37" xfId="685" xr:uid="{00000000-0005-0000-0000-0000AE020000}"/>
    <cellStyle name="Normal 3 2 38" xfId="686" xr:uid="{00000000-0005-0000-0000-0000AF020000}"/>
    <cellStyle name="Normal 3 2 4" xfId="687" xr:uid="{00000000-0005-0000-0000-0000B0020000}"/>
    <cellStyle name="Normal 3 2 5" xfId="688" xr:uid="{00000000-0005-0000-0000-0000B1020000}"/>
    <cellStyle name="Normal 3 2 6" xfId="689" xr:uid="{00000000-0005-0000-0000-0000B2020000}"/>
    <cellStyle name="Normal 3 2 7" xfId="690" xr:uid="{00000000-0005-0000-0000-0000B3020000}"/>
    <cellStyle name="Normal 3 2 8" xfId="691" xr:uid="{00000000-0005-0000-0000-0000B4020000}"/>
    <cellStyle name="Normal 3 2 9" xfId="692" xr:uid="{00000000-0005-0000-0000-0000B5020000}"/>
    <cellStyle name="Normal 3 20" xfId="693" xr:uid="{00000000-0005-0000-0000-0000B6020000}"/>
    <cellStyle name="Normal 3 21" xfId="694" xr:uid="{00000000-0005-0000-0000-0000B7020000}"/>
    <cellStyle name="Normal 3 22" xfId="695" xr:uid="{00000000-0005-0000-0000-0000B8020000}"/>
    <cellStyle name="Normal 3 23" xfId="696" xr:uid="{00000000-0005-0000-0000-0000B9020000}"/>
    <cellStyle name="Normal 3 24" xfId="697" xr:uid="{00000000-0005-0000-0000-0000BA020000}"/>
    <cellStyle name="Normal 3 25" xfId="698" xr:uid="{00000000-0005-0000-0000-0000BB020000}"/>
    <cellStyle name="Normal 3 26" xfId="699" xr:uid="{00000000-0005-0000-0000-0000BC020000}"/>
    <cellStyle name="Normal 3 27" xfId="700" xr:uid="{00000000-0005-0000-0000-0000BD020000}"/>
    <cellStyle name="Normal 3 28" xfId="701" xr:uid="{00000000-0005-0000-0000-0000BE020000}"/>
    <cellStyle name="Normal 3 29" xfId="702" xr:uid="{00000000-0005-0000-0000-0000BF020000}"/>
    <cellStyle name="Normal 3 3" xfId="703" xr:uid="{00000000-0005-0000-0000-0000C0020000}"/>
    <cellStyle name="Normal 3 30" xfId="704" xr:uid="{00000000-0005-0000-0000-0000C1020000}"/>
    <cellStyle name="Normal 3 31" xfId="705" xr:uid="{00000000-0005-0000-0000-0000C2020000}"/>
    <cellStyle name="Normal 3 32" xfId="706" xr:uid="{00000000-0005-0000-0000-0000C3020000}"/>
    <cellStyle name="Normal 3 33" xfId="707" xr:uid="{00000000-0005-0000-0000-0000C4020000}"/>
    <cellStyle name="Normal 3 34" xfId="708" xr:uid="{00000000-0005-0000-0000-0000C5020000}"/>
    <cellStyle name="Normal 3 35" xfId="709" xr:uid="{00000000-0005-0000-0000-0000C6020000}"/>
    <cellStyle name="Normal 3 36" xfId="710" xr:uid="{00000000-0005-0000-0000-0000C7020000}"/>
    <cellStyle name="Normal 3 37" xfId="711" xr:uid="{00000000-0005-0000-0000-0000C8020000}"/>
    <cellStyle name="Normal 3 38" xfId="712" xr:uid="{00000000-0005-0000-0000-0000C9020000}"/>
    <cellStyle name="Normal 3 39" xfId="713" xr:uid="{00000000-0005-0000-0000-0000CA020000}"/>
    <cellStyle name="Normal 3 4" xfId="714" xr:uid="{00000000-0005-0000-0000-0000CB020000}"/>
    <cellStyle name="Normal 3 40" xfId="715" xr:uid="{00000000-0005-0000-0000-0000CC020000}"/>
    <cellStyle name="Normal 3 41" xfId="716" xr:uid="{00000000-0005-0000-0000-0000CD020000}"/>
    <cellStyle name="Normal 3 42" xfId="717" xr:uid="{00000000-0005-0000-0000-0000CE020000}"/>
    <cellStyle name="Normal 3 43" xfId="718" xr:uid="{00000000-0005-0000-0000-0000CF020000}"/>
    <cellStyle name="Normal 3 44" xfId="719" xr:uid="{00000000-0005-0000-0000-0000D0020000}"/>
    <cellStyle name="Normal 3 5" xfId="720" xr:uid="{00000000-0005-0000-0000-0000D1020000}"/>
    <cellStyle name="Normal 3 6" xfId="721" xr:uid="{00000000-0005-0000-0000-0000D2020000}"/>
    <cellStyle name="Normal 3 7" xfId="722" xr:uid="{00000000-0005-0000-0000-0000D3020000}"/>
    <cellStyle name="Normal 3 8" xfId="723" xr:uid="{00000000-0005-0000-0000-0000D4020000}"/>
    <cellStyle name="Normal 3 9" xfId="724" xr:uid="{00000000-0005-0000-0000-0000D5020000}"/>
    <cellStyle name="Normal 30" xfId="725" xr:uid="{00000000-0005-0000-0000-0000D6020000}"/>
    <cellStyle name="Normal 30 2" xfId="726" xr:uid="{00000000-0005-0000-0000-0000D7020000}"/>
    <cellStyle name="Normal 31" xfId="727" xr:uid="{00000000-0005-0000-0000-0000D8020000}"/>
    <cellStyle name="Normal 32" xfId="728" xr:uid="{00000000-0005-0000-0000-0000D9020000}"/>
    <cellStyle name="Normal 33" xfId="729" xr:uid="{00000000-0005-0000-0000-0000DA020000}"/>
    <cellStyle name="Normal 34" xfId="730" xr:uid="{00000000-0005-0000-0000-0000DB020000}"/>
    <cellStyle name="Normal 35" xfId="731" xr:uid="{00000000-0005-0000-0000-0000DC020000}"/>
    <cellStyle name="Normal 36" xfId="732" xr:uid="{00000000-0005-0000-0000-0000DD020000}"/>
    <cellStyle name="Normal 37" xfId="733" xr:uid="{00000000-0005-0000-0000-0000DE020000}"/>
    <cellStyle name="Normal 38" xfId="734" xr:uid="{00000000-0005-0000-0000-0000DF020000}"/>
    <cellStyle name="Normal 39" xfId="735" xr:uid="{00000000-0005-0000-0000-0000E0020000}"/>
    <cellStyle name="Normal 4" xfId="736" xr:uid="{00000000-0005-0000-0000-0000E1020000}"/>
    <cellStyle name="Normal 4 10" xfId="737" xr:uid="{00000000-0005-0000-0000-0000E2020000}"/>
    <cellStyle name="Normal 4 11" xfId="738" xr:uid="{00000000-0005-0000-0000-0000E3020000}"/>
    <cellStyle name="Normal 4 12" xfId="739" xr:uid="{00000000-0005-0000-0000-0000E4020000}"/>
    <cellStyle name="Normal 4 13" xfId="740" xr:uid="{00000000-0005-0000-0000-0000E5020000}"/>
    <cellStyle name="Normal 4 14" xfId="741" xr:uid="{00000000-0005-0000-0000-0000E6020000}"/>
    <cellStyle name="Normal 4 15" xfId="742" xr:uid="{00000000-0005-0000-0000-0000E7020000}"/>
    <cellStyle name="Normal 4 16" xfId="743" xr:uid="{00000000-0005-0000-0000-0000E8020000}"/>
    <cellStyle name="Normal 4 17" xfId="744" xr:uid="{00000000-0005-0000-0000-0000E9020000}"/>
    <cellStyle name="Normal 4 18" xfId="745" xr:uid="{00000000-0005-0000-0000-0000EA020000}"/>
    <cellStyle name="Normal 4 19" xfId="746" xr:uid="{00000000-0005-0000-0000-0000EB020000}"/>
    <cellStyle name="Normal 4 2" xfId="747" xr:uid="{00000000-0005-0000-0000-0000EC020000}"/>
    <cellStyle name="Normal 4 2 10" xfId="748" xr:uid="{00000000-0005-0000-0000-0000ED020000}"/>
    <cellStyle name="Normal 4 2 11" xfId="749" xr:uid="{00000000-0005-0000-0000-0000EE020000}"/>
    <cellStyle name="Normal 4 2 12" xfId="750" xr:uid="{00000000-0005-0000-0000-0000EF020000}"/>
    <cellStyle name="Normal 4 2 13" xfId="751" xr:uid="{00000000-0005-0000-0000-0000F0020000}"/>
    <cellStyle name="Normal 4 2 14" xfId="752" xr:uid="{00000000-0005-0000-0000-0000F1020000}"/>
    <cellStyle name="Normal 4 2 15" xfId="753" xr:uid="{00000000-0005-0000-0000-0000F2020000}"/>
    <cellStyle name="Normal 4 2 16" xfId="754" xr:uid="{00000000-0005-0000-0000-0000F3020000}"/>
    <cellStyle name="Normal 4 2 17" xfId="755" xr:uid="{00000000-0005-0000-0000-0000F4020000}"/>
    <cellStyle name="Normal 4 2 18" xfId="756" xr:uid="{00000000-0005-0000-0000-0000F5020000}"/>
    <cellStyle name="Normal 4 2 19" xfId="757" xr:uid="{00000000-0005-0000-0000-0000F6020000}"/>
    <cellStyle name="Normal 4 2 2" xfId="758" xr:uid="{00000000-0005-0000-0000-0000F7020000}"/>
    <cellStyle name="Normal 4 2 20" xfId="759" xr:uid="{00000000-0005-0000-0000-0000F8020000}"/>
    <cellStyle name="Normal 4 2 21" xfId="760" xr:uid="{00000000-0005-0000-0000-0000F9020000}"/>
    <cellStyle name="Normal 4 2 22" xfId="761" xr:uid="{00000000-0005-0000-0000-0000FA020000}"/>
    <cellStyle name="Normal 4 2 23" xfId="762" xr:uid="{00000000-0005-0000-0000-0000FB020000}"/>
    <cellStyle name="Normal 4 2 24" xfId="763" xr:uid="{00000000-0005-0000-0000-0000FC020000}"/>
    <cellStyle name="Normal 4 2 25" xfId="764" xr:uid="{00000000-0005-0000-0000-0000FD020000}"/>
    <cellStyle name="Normal 4 2 26" xfId="765" xr:uid="{00000000-0005-0000-0000-0000FE020000}"/>
    <cellStyle name="Normal 4 2 27" xfId="766" xr:uid="{00000000-0005-0000-0000-0000FF020000}"/>
    <cellStyle name="Normal 4 2 28" xfId="767" xr:uid="{00000000-0005-0000-0000-000000030000}"/>
    <cellStyle name="Normal 4 2 29" xfId="768" xr:uid="{00000000-0005-0000-0000-000001030000}"/>
    <cellStyle name="Normal 4 2 3" xfId="769" xr:uid="{00000000-0005-0000-0000-000002030000}"/>
    <cellStyle name="Normal 4 2 30" xfId="770" xr:uid="{00000000-0005-0000-0000-000003030000}"/>
    <cellStyle name="Normal 4 2 31" xfId="771" xr:uid="{00000000-0005-0000-0000-000004030000}"/>
    <cellStyle name="Normal 4 2 32" xfId="772" xr:uid="{00000000-0005-0000-0000-000005030000}"/>
    <cellStyle name="Normal 4 2 33" xfId="773" xr:uid="{00000000-0005-0000-0000-000006030000}"/>
    <cellStyle name="Normal 4 2 34" xfId="774" xr:uid="{00000000-0005-0000-0000-000007030000}"/>
    <cellStyle name="Normal 4 2 35" xfId="775" xr:uid="{00000000-0005-0000-0000-000008030000}"/>
    <cellStyle name="Normal 4 2 36" xfId="776" xr:uid="{00000000-0005-0000-0000-000009030000}"/>
    <cellStyle name="Normal 4 2 37" xfId="777" xr:uid="{00000000-0005-0000-0000-00000A030000}"/>
    <cellStyle name="Normal 4 2 38" xfId="778" xr:uid="{00000000-0005-0000-0000-00000B030000}"/>
    <cellStyle name="Normal 4 2 4" xfId="779" xr:uid="{00000000-0005-0000-0000-00000C030000}"/>
    <cellStyle name="Normal 4 2 5" xfId="780" xr:uid="{00000000-0005-0000-0000-00000D030000}"/>
    <cellStyle name="Normal 4 2 6" xfId="781" xr:uid="{00000000-0005-0000-0000-00000E030000}"/>
    <cellStyle name="Normal 4 2 7" xfId="782" xr:uid="{00000000-0005-0000-0000-00000F030000}"/>
    <cellStyle name="Normal 4 2 8" xfId="783" xr:uid="{00000000-0005-0000-0000-000010030000}"/>
    <cellStyle name="Normal 4 2 9" xfId="784" xr:uid="{00000000-0005-0000-0000-000011030000}"/>
    <cellStyle name="Normal 4 20" xfId="785" xr:uid="{00000000-0005-0000-0000-000012030000}"/>
    <cellStyle name="Normal 4 21" xfId="786" xr:uid="{00000000-0005-0000-0000-000013030000}"/>
    <cellStyle name="Normal 4 22" xfId="787" xr:uid="{00000000-0005-0000-0000-000014030000}"/>
    <cellStyle name="Normal 4 23" xfId="788" xr:uid="{00000000-0005-0000-0000-000015030000}"/>
    <cellStyle name="Normal 4 24" xfId="789" xr:uid="{00000000-0005-0000-0000-000016030000}"/>
    <cellStyle name="Normal 4 25" xfId="790" xr:uid="{00000000-0005-0000-0000-000017030000}"/>
    <cellStyle name="Normal 4 26" xfId="791" xr:uid="{00000000-0005-0000-0000-000018030000}"/>
    <cellStyle name="Normal 4 27" xfId="792" xr:uid="{00000000-0005-0000-0000-000019030000}"/>
    <cellStyle name="Normal 4 28" xfId="793" xr:uid="{00000000-0005-0000-0000-00001A030000}"/>
    <cellStyle name="Normal 4 29" xfId="794" xr:uid="{00000000-0005-0000-0000-00001B030000}"/>
    <cellStyle name="Normal 4 3" xfId="795" xr:uid="{00000000-0005-0000-0000-00001C030000}"/>
    <cellStyle name="Normal 4 30" xfId="796" xr:uid="{00000000-0005-0000-0000-00001D030000}"/>
    <cellStyle name="Normal 4 31" xfId="797" xr:uid="{00000000-0005-0000-0000-00001E030000}"/>
    <cellStyle name="Normal 4 32" xfId="798" xr:uid="{00000000-0005-0000-0000-00001F030000}"/>
    <cellStyle name="Normal 4 33" xfId="799" xr:uid="{00000000-0005-0000-0000-000020030000}"/>
    <cellStyle name="Normal 4 34" xfId="800" xr:uid="{00000000-0005-0000-0000-000021030000}"/>
    <cellStyle name="Normal 4 35" xfId="801" xr:uid="{00000000-0005-0000-0000-000022030000}"/>
    <cellStyle name="Normal 4 36" xfId="802" xr:uid="{00000000-0005-0000-0000-000023030000}"/>
    <cellStyle name="Normal 4 37" xfId="803" xr:uid="{00000000-0005-0000-0000-000024030000}"/>
    <cellStyle name="Normal 4 38" xfId="804" xr:uid="{00000000-0005-0000-0000-000025030000}"/>
    <cellStyle name="Normal 4 39" xfId="805" xr:uid="{00000000-0005-0000-0000-000026030000}"/>
    <cellStyle name="Normal 4 4" xfId="806" xr:uid="{00000000-0005-0000-0000-000027030000}"/>
    <cellStyle name="Normal 4 40" xfId="807" xr:uid="{00000000-0005-0000-0000-000028030000}"/>
    <cellStyle name="Normal 4 41" xfId="808" xr:uid="{00000000-0005-0000-0000-000029030000}"/>
    <cellStyle name="Normal 4 42" xfId="809" xr:uid="{00000000-0005-0000-0000-00002A030000}"/>
    <cellStyle name="Normal 4 5" xfId="810" xr:uid="{00000000-0005-0000-0000-00002B030000}"/>
    <cellStyle name="Normal 4 6" xfId="811" xr:uid="{00000000-0005-0000-0000-00002C030000}"/>
    <cellStyle name="Normal 4 7" xfId="812" xr:uid="{00000000-0005-0000-0000-00002D030000}"/>
    <cellStyle name="Normal 4 8" xfId="813" xr:uid="{00000000-0005-0000-0000-00002E030000}"/>
    <cellStyle name="Normal 4 9" xfId="814" xr:uid="{00000000-0005-0000-0000-00002F030000}"/>
    <cellStyle name="Normal 43" xfId="815" xr:uid="{00000000-0005-0000-0000-000030030000}"/>
    <cellStyle name="Normal 44" xfId="816" xr:uid="{00000000-0005-0000-0000-000031030000}"/>
    <cellStyle name="Normal 45" xfId="817" xr:uid="{00000000-0005-0000-0000-000032030000}"/>
    <cellStyle name="Normal 46" xfId="818" xr:uid="{00000000-0005-0000-0000-000033030000}"/>
    <cellStyle name="Normal 47" xfId="819" xr:uid="{00000000-0005-0000-0000-000034030000}"/>
    <cellStyle name="Normal 48" xfId="820" xr:uid="{00000000-0005-0000-0000-000035030000}"/>
    <cellStyle name="Normal 49" xfId="821" xr:uid="{00000000-0005-0000-0000-000036030000}"/>
    <cellStyle name="Normal 5" xfId="822" xr:uid="{00000000-0005-0000-0000-000037030000}"/>
    <cellStyle name="Normal 5 2" xfId="823" xr:uid="{00000000-0005-0000-0000-000038030000}"/>
    <cellStyle name="Normal 5 3" xfId="824" xr:uid="{00000000-0005-0000-0000-000039030000}"/>
    <cellStyle name="Normal 5 4" xfId="825" xr:uid="{00000000-0005-0000-0000-00003A030000}"/>
    <cellStyle name="Normal 5 5" xfId="826" xr:uid="{00000000-0005-0000-0000-00003B030000}"/>
    <cellStyle name="Normal 5 6" xfId="827" xr:uid="{00000000-0005-0000-0000-00003C030000}"/>
    <cellStyle name="Normal 5 7" xfId="828" xr:uid="{00000000-0005-0000-0000-00003D030000}"/>
    <cellStyle name="Normal 5 8" xfId="829" xr:uid="{00000000-0005-0000-0000-00003E030000}"/>
    <cellStyle name="Normal 5 9" xfId="830" xr:uid="{00000000-0005-0000-0000-00003F030000}"/>
    <cellStyle name="Normal 6" xfId="831" xr:uid="{00000000-0005-0000-0000-000040030000}"/>
    <cellStyle name="Normal 6 2" xfId="832" xr:uid="{00000000-0005-0000-0000-000041030000}"/>
    <cellStyle name="Normal 6 3" xfId="833" xr:uid="{00000000-0005-0000-0000-000042030000}"/>
    <cellStyle name="Normal 6 4" xfId="834" xr:uid="{00000000-0005-0000-0000-000043030000}"/>
    <cellStyle name="Normal 6 5" xfId="835" xr:uid="{00000000-0005-0000-0000-000044030000}"/>
    <cellStyle name="Normal 7" xfId="836" xr:uid="{00000000-0005-0000-0000-000045030000}"/>
    <cellStyle name="Normal 7 10" xfId="837" xr:uid="{00000000-0005-0000-0000-000046030000}"/>
    <cellStyle name="Normal 7 11" xfId="838" xr:uid="{00000000-0005-0000-0000-000047030000}"/>
    <cellStyle name="Normal 7 12" xfId="839" xr:uid="{00000000-0005-0000-0000-000048030000}"/>
    <cellStyle name="Normal 7 2" xfId="840" xr:uid="{00000000-0005-0000-0000-000049030000}"/>
    <cellStyle name="Normal 7 3" xfId="841" xr:uid="{00000000-0005-0000-0000-00004A030000}"/>
    <cellStyle name="Normal 7 4" xfId="842" xr:uid="{00000000-0005-0000-0000-00004B030000}"/>
    <cellStyle name="Normal 7 5" xfId="843" xr:uid="{00000000-0005-0000-0000-00004C030000}"/>
    <cellStyle name="Normal 7 6" xfId="844" xr:uid="{00000000-0005-0000-0000-00004D030000}"/>
    <cellStyle name="Normal 7 7" xfId="845" xr:uid="{00000000-0005-0000-0000-00004E030000}"/>
    <cellStyle name="Normal 7 8" xfId="846" xr:uid="{00000000-0005-0000-0000-00004F030000}"/>
    <cellStyle name="Normal 7 9" xfId="847" xr:uid="{00000000-0005-0000-0000-000050030000}"/>
    <cellStyle name="Normal 8" xfId="848" xr:uid="{00000000-0005-0000-0000-000051030000}"/>
    <cellStyle name="Normal 9" xfId="849" xr:uid="{00000000-0005-0000-0000-000052030000}"/>
    <cellStyle name="Note 10" xfId="850" xr:uid="{00000000-0005-0000-0000-000053030000}"/>
    <cellStyle name="Note 11" xfId="851" xr:uid="{00000000-0005-0000-0000-000054030000}"/>
    <cellStyle name="Note 12" xfId="852" xr:uid="{00000000-0005-0000-0000-000055030000}"/>
    <cellStyle name="Note 13" xfId="853" xr:uid="{00000000-0005-0000-0000-000056030000}"/>
    <cellStyle name="Note 2" xfId="854" xr:uid="{00000000-0005-0000-0000-000057030000}"/>
    <cellStyle name="Note 3" xfId="855" xr:uid="{00000000-0005-0000-0000-000058030000}"/>
    <cellStyle name="Note 4" xfId="856" xr:uid="{00000000-0005-0000-0000-000059030000}"/>
    <cellStyle name="Note 5" xfId="857" xr:uid="{00000000-0005-0000-0000-00005A030000}"/>
    <cellStyle name="Note 6" xfId="858" xr:uid="{00000000-0005-0000-0000-00005B030000}"/>
    <cellStyle name="Note 7" xfId="859" xr:uid="{00000000-0005-0000-0000-00005C030000}"/>
    <cellStyle name="Note 8" xfId="860" xr:uid="{00000000-0005-0000-0000-00005D030000}"/>
    <cellStyle name="Note 9" xfId="861" xr:uid="{00000000-0005-0000-0000-00005E030000}"/>
    <cellStyle name="OddBodyShade" xfId="862" xr:uid="{00000000-0005-0000-0000-00005F030000}"/>
    <cellStyle name="Output 10" xfId="863" xr:uid="{00000000-0005-0000-0000-000060030000}"/>
    <cellStyle name="Output 11" xfId="864" xr:uid="{00000000-0005-0000-0000-000061030000}"/>
    <cellStyle name="Output 12" xfId="865" xr:uid="{00000000-0005-0000-0000-000062030000}"/>
    <cellStyle name="Output 13" xfId="866" xr:uid="{00000000-0005-0000-0000-000063030000}"/>
    <cellStyle name="Output 2" xfId="867" xr:uid="{00000000-0005-0000-0000-000064030000}"/>
    <cellStyle name="Output 3" xfId="868" xr:uid="{00000000-0005-0000-0000-000065030000}"/>
    <cellStyle name="Output 4" xfId="869" xr:uid="{00000000-0005-0000-0000-000066030000}"/>
    <cellStyle name="Output 5" xfId="870" xr:uid="{00000000-0005-0000-0000-000067030000}"/>
    <cellStyle name="Output 6" xfId="871" xr:uid="{00000000-0005-0000-0000-000068030000}"/>
    <cellStyle name="Output 7" xfId="872" xr:uid="{00000000-0005-0000-0000-000069030000}"/>
    <cellStyle name="Output 8" xfId="873" xr:uid="{00000000-0005-0000-0000-00006A030000}"/>
    <cellStyle name="Output 9" xfId="874" xr:uid="{00000000-0005-0000-0000-00006B030000}"/>
    <cellStyle name="Overscore" xfId="875" xr:uid="{00000000-0005-0000-0000-00006C030000}"/>
    <cellStyle name="Overunder" xfId="876" xr:uid="{00000000-0005-0000-0000-00006D030000}"/>
    <cellStyle name="P" xfId="877" xr:uid="{00000000-0005-0000-0000-00006E030000}"/>
    <cellStyle name="Percent" xfId="878" builtinId="5"/>
    <cellStyle name="Percent [2]" xfId="879" xr:uid="{00000000-0005-0000-0000-000070030000}"/>
    <cellStyle name="Percent 2" xfId="880" xr:uid="{00000000-0005-0000-0000-000071030000}"/>
    <cellStyle name="Percent 2 10" xfId="881" xr:uid="{00000000-0005-0000-0000-000072030000}"/>
    <cellStyle name="Percent 2 11" xfId="882" xr:uid="{00000000-0005-0000-0000-000073030000}"/>
    <cellStyle name="Percent 2 12" xfId="883" xr:uid="{00000000-0005-0000-0000-000074030000}"/>
    <cellStyle name="Percent 2 13" xfId="884" xr:uid="{00000000-0005-0000-0000-000075030000}"/>
    <cellStyle name="Percent 2 14" xfId="885" xr:uid="{00000000-0005-0000-0000-000076030000}"/>
    <cellStyle name="Percent 2 15" xfId="886" xr:uid="{00000000-0005-0000-0000-000077030000}"/>
    <cellStyle name="Percent 2 16" xfId="887" xr:uid="{00000000-0005-0000-0000-000078030000}"/>
    <cellStyle name="Percent 2 17" xfId="888" xr:uid="{00000000-0005-0000-0000-000079030000}"/>
    <cellStyle name="Percent 2 18" xfId="889" xr:uid="{00000000-0005-0000-0000-00007A030000}"/>
    <cellStyle name="Percent 2 19" xfId="890" xr:uid="{00000000-0005-0000-0000-00007B030000}"/>
    <cellStyle name="Percent 2 2" xfId="891" xr:uid="{00000000-0005-0000-0000-00007C030000}"/>
    <cellStyle name="Percent 2 2 10" xfId="892" xr:uid="{00000000-0005-0000-0000-00007D030000}"/>
    <cellStyle name="Percent 2 2 11" xfId="893" xr:uid="{00000000-0005-0000-0000-00007E030000}"/>
    <cellStyle name="Percent 2 2 12" xfId="894" xr:uid="{00000000-0005-0000-0000-00007F030000}"/>
    <cellStyle name="Percent 2 2 13" xfId="895" xr:uid="{00000000-0005-0000-0000-000080030000}"/>
    <cellStyle name="Percent 2 2 14" xfId="896" xr:uid="{00000000-0005-0000-0000-000081030000}"/>
    <cellStyle name="Percent 2 2 15" xfId="897" xr:uid="{00000000-0005-0000-0000-000082030000}"/>
    <cellStyle name="Percent 2 2 16" xfId="898" xr:uid="{00000000-0005-0000-0000-000083030000}"/>
    <cellStyle name="Percent 2 2 17" xfId="899" xr:uid="{00000000-0005-0000-0000-000084030000}"/>
    <cellStyle name="Percent 2 2 18" xfId="900" xr:uid="{00000000-0005-0000-0000-000085030000}"/>
    <cellStyle name="Percent 2 2 19" xfId="901" xr:uid="{00000000-0005-0000-0000-000086030000}"/>
    <cellStyle name="Percent 2 2 2" xfId="902" xr:uid="{00000000-0005-0000-0000-000087030000}"/>
    <cellStyle name="Percent 2 2 20" xfId="903" xr:uid="{00000000-0005-0000-0000-000088030000}"/>
    <cellStyle name="Percent 2 2 21" xfId="904" xr:uid="{00000000-0005-0000-0000-000089030000}"/>
    <cellStyle name="Percent 2 2 22" xfId="905" xr:uid="{00000000-0005-0000-0000-00008A030000}"/>
    <cellStyle name="Percent 2 2 23" xfId="906" xr:uid="{00000000-0005-0000-0000-00008B030000}"/>
    <cellStyle name="Percent 2 2 24" xfId="907" xr:uid="{00000000-0005-0000-0000-00008C030000}"/>
    <cellStyle name="Percent 2 2 25" xfId="908" xr:uid="{00000000-0005-0000-0000-00008D030000}"/>
    <cellStyle name="Percent 2 2 26" xfId="909" xr:uid="{00000000-0005-0000-0000-00008E030000}"/>
    <cellStyle name="Percent 2 2 27" xfId="910" xr:uid="{00000000-0005-0000-0000-00008F030000}"/>
    <cellStyle name="Percent 2 2 28" xfId="911" xr:uid="{00000000-0005-0000-0000-000090030000}"/>
    <cellStyle name="Percent 2 2 29" xfId="912" xr:uid="{00000000-0005-0000-0000-000091030000}"/>
    <cellStyle name="Percent 2 2 3" xfId="913" xr:uid="{00000000-0005-0000-0000-000092030000}"/>
    <cellStyle name="Percent 2 2 30" xfId="914" xr:uid="{00000000-0005-0000-0000-000093030000}"/>
    <cellStyle name="Percent 2 2 31" xfId="915" xr:uid="{00000000-0005-0000-0000-000094030000}"/>
    <cellStyle name="Percent 2 2 32" xfId="916" xr:uid="{00000000-0005-0000-0000-000095030000}"/>
    <cellStyle name="Percent 2 2 33" xfId="917" xr:uid="{00000000-0005-0000-0000-000096030000}"/>
    <cellStyle name="Percent 2 2 34" xfId="918" xr:uid="{00000000-0005-0000-0000-000097030000}"/>
    <cellStyle name="Percent 2 2 35" xfId="919" xr:uid="{00000000-0005-0000-0000-000098030000}"/>
    <cellStyle name="Percent 2 2 36" xfId="920" xr:uid="{00000000-0005-0000-0000-000099030000}"/>
    <cellStyle name="Percent 2 2 37" xfId="921" xr:uid="{00000000-0005-0000-0000-00009A030000}"/>
    <cellStyle name="Percent 2 2 38" xfId="922" xr:uid="{00000000-0005-0000-0000-00009B030000}"/>
    <cellStyle name="Percent 2 2 4" xfId="923" xr:uid="{00000000-0005-0000-0000-00009C030000}"/>
    <cellStyle name="Percent 2 2 5" xfId="924" xr:uid="{00000000-0005-0000-0000-00009D030000}"/>
    <cellStyle name="Percent 2 2 6" xfId="925" xr:uid="{00000000-0005-0000-0000-00009E030000}"/>
    <cellStyle name="Percent 2 2 7" xfId="926" xr:uid="{00000000-0005-0000-0000-00009F030000}"/>
    <cellStyle name="Percent 2 2 8" xfId="927" xr:uid="{00000000-0005-0000-0000-0000A0030000}"/>
    <cellStyle name="Percent 2 2 9" xfId="928" xr:uid="{00000000-0005-0000-0000-0000A1030000}"/>
    <cellStyle name="Percent 2 20" xfId="929" xr:uid="{00000000-0005-0000-0000-0000A2030000}"/>
    <cellStyle name="Percent 2 21" xfId="930" xr:uid="{00000000-0005-0000-0000-0000A3030000}"/>
    <cellStyle name="Percent 2 22" xfId="931" xr:uid="{00000000-0005-0000-0000-0000A4030000}"/>
    <cellStyle name="Percent 2 23" xfId="932" xr:uid="{00000000-0005-0000-0000-0000A5030000}"/>
    <cellStyle name="Percent 2 24" xfId="933" xr:uid="{00000000-0005-0000-0000-0000A6030000}"/>
    <cellStyle name="Percent 2 25" xfId="934" xr:uid="{00000000-0005-0000-0000-0000A7030000}"/>
    <cellStyle name="Percent 2 26" xfId="935" xr:uid="{00000000-0005-0000-0000-0000A8030000}"/>
    <cellStyle name="Percent 2 27" xfId="936" xr:uid="{00000000-0005-0000-0000-0000A9030000}"/>
    <cellStyle name="Percent 2 28" xfId="937" xr:uid="{00000000-0005-0000-0000-0000AA030000}"/>
    <cellStyle name="Percent 2 29" xfId="938" xr:uid="{00000000-0005-0000-0000-0000AB030000}"/>
    <cellStyle name="Percent 2 3" xfId="939" xr:uid="{00000000-0005-0000-0000-0000AC030000}"/>
    <cellStyle name="Percent 2 30" xfId="940" xr:uid="{00000000-0005-0000-0000-0000AD030000}"/>
    <cellStyle name="Percent 2 31" xfId="941" xr:uid="{00000000-0005-0000-0000-0000AE030000}"/>
    <cellStyle name="Percent 2 32" xfId="942" xr:uid="{00000000-0005-0000-0000-0000AF030000}"/>
    <cellStyle name="Percent 2 33" xfId="943" xr:uid="{00000000-0005-0000-0000-0000B0030000}"/>
    <cellStyle name="Percent 2 34" xfId="944" xr:uid="{00000000-0005-0000-0000-0000B1030000}"/>
    <cellStyle name="Percent 2 35" xfId="945" xr:uid="{00000000-0005-0000-0000-0000B2030000}"/>
    <cellStyle name="Percent 2 36" xfId="946" xr:uid="{00000000-0005-0000-0000-0000B3030000}"/>
    <cellStyle name="Percent 2 37" xfId="947" xr:uid="{00000000-0005-0000-0000-0000B4030000}"/>
    <cellStyle name="Percent 2 38" xfId="948" xr:uid="{00000000-0005-0000-0000-0000B5030000}"/>
    <cellStyle name="Percent 2 4" xfId="949" xr:uid="{00000000-0005-0000-0000-0000B6030000}"/>
    <cellStyle name="Percent 2 5" xfId="950" xr:uid="{00000000-0005-0000-0000-0000B7030000}"/>
    <cellStyle name="Percent 2 6" xfId="951" xr:uid="{00000000-0005-0000-0000-0000B8030000}"/>
    <cellStyle name="Percent 2 7" xfId="952" xr:uid="{00000000-0005-0000-0000-0000B9030000}"/>
    <cellStyle name="Percent 2 8" xfId="953" xr:uid="{00000000-0005-0000-0000-0000BA030000}"/>
    <cellStyle name="Percent 2 9" xfId="954" xr:uid="{00000000-0005-0000-0000-0000BB030000}"/>
    <cellStyle name="Percent 3" xfId="955" xr:uid="{00000000-0005-0000-0000-0000BC030000}"/>
    <cellStyle name="Percent 3 2" xfId="956" xr:uid="{00000000-0005-0000-0000-0000BD030000}"/>
    <cellStyle name="Percent 4" xfId="957" xr:uid="{00000000-0005-0000-0000-0000BE030000}"/>
    <cellStyle name="Percent 5" xfId="958" xr:uid="{00000000-0005-0000-0000-0000BF030000}"/>
    <cellStyle name="Percent 6" xfId="959" xr:uid="{00000000-0005-0000-0000-0000C0030000}"/>
    <cellStyle name="Percent 7" xfId="960" xr:uid="{00000000-0005-0000-0000-0000C1030000}"/>
    <cellStyle name="Percent 8" xfId="961" xr:uid="{00000000-0005-0000-0000-0000C2030000}"/>
    <cellStyle name="PSChar" xfId="962" xr:uid="{00000000-0005-0000-0000-0000C3030000}"/>
    <cellStyle name="PSDate" xfId="963" xr:uid="{00000000-0005-0000-0000-0000C4030000}"/>
    <cellStyle name="PSDec" xfId="964" xr:uid="{00000000-0005-0000-0000-0000C5030000}"/>
    <cellStyle name="PSHeading" xfId="965" xr:uid="{00000000-0005-0000-0000-0000C6030000}"/>
    <cellStyle name="PSInt" xfId="966" xr:uid="{00000000-0005-0000-0000-0000C7030000}"/>
    <cellStyle name="PSSpacer" xfId="967" xr:uid="{00000000-0005-0000-0000-0000C8030000}"/>
    <cellStyle name="Quantifying" xfId="968" xr:uid="{00000000-0005-0000-0000-0000C9030000}"/>
    <cellStyle name="Quantifying 2" xfId="969" xr:uid="{00000000-0005-0000-0000-0000CA030000}"/>
    <cellStyle name="Reg1" xfId="970" xr:uid="{00000000-0005-0000-0000-0000CB030000}"/>
    <cellStyle name="Reg2" xfId="971" xr:uid="{00000000-0005-0000-0000-0000CC030000}"/>
    <cellStyle name="Reg3" xfId="972" xr:uid="{00000000-0005-0000-0000-0000CD030000}"/>
    <cellStyle name="Reg4" xfId="973" xr:uid="{00000000-0005-0000-0000-0000CE030000}"/>
    <cellStyle name="Reg5" xfId="974" xr:uid="{00000000-0005-0000-0000-0000CF030000}"/>
    <cellStyle name="Reg6" xfId="975" xr:uid="{00000000-0005-0000-0000-0000D0030000}"/>
    <cellStyle name="Reg7" xfId="976" xr:uid="{00000000-0005-0000-0000-0000D1030000}"/>
    <cellStyle name="Reg8" xfId="977" xr:uid="{00000000-0005-0000-0000-0000D2030000}"/>
    <cellStyle name="Reg9" xfId="978" xr:uid="{00000000-0005-0000-0000-0000D3030000}"/>
    <cellStyle name="SpecialHeader" xfId="979" xr:uid="{00000000-0005-0000-0000-0000D4030000}"/>
    <cellStyle name="SubHeader" xfId="980" xr:uid="{00000000-0005-0000-0000-0000D5030000}"/>
    <cellStyle name="SubTotal" xfId="981" xr:uid="{00000000-0005-0000-0000-0000D6030000}"/>
    <cellStyle name="T" xfId="982" xr:uid="{00000000-0005-0000-0000-0000D7030000}"/>
    <cellStyle name="T_Book2" xfId="983" xr:uid="{00000000-0005-0000-0000-0000D8030000}"/>
    <cellStyle name="T_Budget FY 2007 Monthly FTE" xfId="984" xr:uid="{00000000-0005-0000-0000-0000D9030000}"/>
    <cellStyle name="T_Mercy Cash Projections - Draft 020607" xfId="985" xr:uid="{00000000-0005-0000-0000-0000DA030000}"/>
    <cellStyle name="Text" xfId="986" xr:uid="{00000000-0005-0000-0000-0000DB030000}"/>
    <cellStyle name="TIME" xfId="987" xr:uid="{00000000-0005-0000-0000-0000DC030000}"/>
    <cellStyle name="Title 10" xfId="988" xr:uid="{00000000-0005-0000-0000-0000DD030000}"/>
    <cellStyle name="Title 11" xfId="989" xr:uid="{00000000-0005-0000-0000-0000DE030000}"/>
    <cellStyle name="Title 12" xfId="990" xr:uid="{00000000-0005-0000-0000-0000DF030000}"/>
    <cellStyle name="Title 13" xfId="991" xr:uid="{00000000-0005-0000-0000-0000E0030000}"/>
    <cellStyle name="Title 2" xfId="992" xr:uid="{00000000-0005-0000-0000-0000E1030000}"/>
    <cellStyle name="Title 3" xfId="993" xr:uid="{00000000-0005-0000-0000-0000E2030000}"/>
    <cellStyle name="Title 4" xfId="994" xr:uid="{00000000-0005-0000-0000-0000E3030000}"/>
    <cellStyle name="Title 5" xfId="995" xr:uid="{00000000-0005-0000-0000-0000E4030000}"/>
    <cellStyle name="Title 6" xfId="996" xr:uid="{00000000-0005-0000-0000-0000E5030000}"/>
    <cellStyle name="Title 7" xfId="997" xr:uid="{00000000-0005-0000-0000-0000E6030000}"/>
    <cellStyle name="Title 8" xfId="998" xr:uid="{00000000-0005-0000-0000-0000E7030000}"/>
    <cellStyle name="Title 9" xfId="999" xr:uid="{00000000-0005-0000-0000-0000E8030000}"/>
    <cellStyle name="Title1" xfId="1000" xr:uid="{00000000-0005-0000-0000-0000E9030000}"/>
    <cellStyle name="TitleOther" xfId="1001" xr:uid="{00000000-0005-0000-0000-0000EA030000}"/>
    <cellStyle name="Total 10" xfId="1002" xr:uid="{00000000-0005-0000-0000-0000EB030000}"/>
    <cellStyle name="Total 11" xfId="1003" xr:uid="{00000000-0005-0000-0000-0000EC030000}"/>
    <cellStyle name="Total 12" xfId="1004" xr:uid="{00000000-0005-0000-0000-0000ED030000}"/>
    <cellStyle name="Total 13" xfId="1005" xr:uid="{00000000-0005-0000-0000-0000EE030000}"/>
    <cellStyle name="Total 2" xfId="1006" xr:uid="{00000000-0005-0000-0000-0000EF030000}"/>
    <cellStyle name="Total 3" xfId="1007" xr:uid="{00000000-0005-0000-0000-0000F0030000}"/>
    <cellStyle name="Total 4" xfId="1008" xr:uid="{00000000-0005-0000-0000-0000F1030000}"/>
    <cellStyle name="Total 5" xfId="1009" xr:uid="{00000000-0005-0000-0000-0000F2030000}"/>
    <cellStyle name="Total 6" xfId="1010" xr:uid="{00000000-0005-0000-0000-0000F3030000}"/>
    <cellStyle name="Total 7" xfId="1011" xr:uid="{00000000-0005-0000-0000-0000F4030000}"/>
    <cellStyle name="Total 8" xfId="1012" xr:uid="{00000000-0005-0000-0000-0000F5030000}"/>
    <cellStyle name="Total 9" xfId="1013" xr:uid="{00000000-0005-0000-0000-0000F6030000}"/>
    <cellStyle name="Total1" xfId="1014" xr:uid="{00000000-0005-0000-0000-0000F7030000}"/>
    <cellStyle name="Total2" xfId="1015" xr:uid="{00000000-0005-0000-0000-0000F8030000}"/>
    <cellStyle name="Total3" xfId="1016" xr:uid="{00000000-0005-0000-0000-0000F9030000}"/>
    <cellStyle name="Total4" xfId="1017" xr:uid="{00000000-0005-0000-0000-0000FA030000}"/>
    <cellStyle name="Total5" xfId="1018" xr:uid="{00000000-0005-0000-0000-0000FB030000}"/>
    <cellStyle name="Total6" xfId="1019" xr:uid="{00000000-0005-0000-0000-0000FC030000}"/>
    <cellStyle name="Total7" xfId="1020" xr:uid="{00000000-0005-0000-0000-0000FD030000}"/>
    <cellStyle name="Total8" xfId="1021" xr:uid="{00000000-0005-0000-0000-0000FE030000}"/>
    <cellStyle name="Total9" xfId="1022" xr:uid="{00000000-0005-0000-0000-0000FF030000}"/>
    <cellStyle name="TotShade" xfId="1023" xr:uid="{00000000-0005-0000-0000-000000040000}"/>
    <cellStyle name="Underscore" xfId="1024" xr:uid="{00000000-0005-0000-0000-000001040000}"/>
    <cellStyle name="User Data Entry" xfId="1025" xr:uid="{00000000-0005-0000-0000-000002040000}"/>
    <cellStyle name="Warning Text 10" xfId="1026" xr:uid="{00000000-0005-0000-0000-000003040000}"/>
    <cellStyle name="Warning Text 11" xfId="1027" xr:uid="{00000000-0005-0000-0000-000004040000}"/>
    <cellStyle name="Warning Text 12" xfId="1028" xr:uid="{00000000-0005-0000-0000-000005040000}"/>
    <cellStyle name="Warning Text 13" xfId="1029" xr:uid="{00000000-0005-0000-0000-000006040000}"/>
    <cellStyle name="Warning Text 2" xfId="1030" xr:uid="{00000000-0005-0000-0000-000007040000}"/>
    <cellStyle name="Warning Text 3" xfId="1031" xr:uid="{00000000-0005-0000-0000-000008040000}"/>
    <cellStyle name="Warning Text 4" xfId="1032" xr:uid="{00000000-0005-0000-0000-000009040000}"/>
    <cellStyle name="Warning Text 5" xfId="1033" xr:uid="{00000000-0005-0000-0000-00000A040000}"/>
    <cellStyle name="Warning Text 6" xfId="1034" xr:uid="{00000000-0005-0000-0000-00000B040000}"/>
    <cellStyle name="Warning Text 7" xfId="1035" xr:uid="{00000000-0005-0000-0000-00000C040000}"/>
    <cellStyle name="Warning Text 8" xfId="1036" xr:uid="{00000000-0005-0000-0000-00000D040000}"/>
    <cellStyle name="Warning Text 9" xfId="1037" xr:uid="{00000000-0005-0000-0000-00000E040000}"/>
  </cellStyles>
  <dxfs count="0"/>
  <tableStyles count="0" defaultTableStyle="TableStyleMedium9" defaultPivotStyle="PivotStyleLight16"/>
  <colors>
    <mruColors>
      <color rgb="FF73F52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externalLink" Target="externalLinks/externalLink1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40"/>
      <c:rotY val="90"/>
      <c:rAngAx val="0"/>
    </c:view3D>
    <c:floor>
      <c:thickness val="0"/>
    </c:floor>
    <c:sideWall>
      <c:thickness val="0"/>
    </c:sideWall>
    <c:backWall>
      <c:thickness val="0"/>
    </c:backWall>
    <c:plotArea>
      <c:layout>
        <c:manualLayout>
          <c:layoutTarget val="inner"/>
          <c:xMode val="edge"/>
          <c:yMode val="edge"/>
          <c:x val="6.3087673978686851E-2"/>
          <c:y val="0.12416666666666699"/>
          <c:w val="0.88066252623661656"/>
          <c:h val="0.80333398950131008"/>
        </c:manualLayout>
      </c:layout>
      <c:pie3DChart>
        <c:varyColors val="1"/>
        <c:ser>
          <c:idx val="0"/>
          <c:order val="0"/>
          <c:dLbls>
            <c:dLbl>
              <c:idx val="0"/>
              <c:layout>
                <c:manualLayout>
                  <c:x val="0.15686402097987179"/>
                  <c:y val="-6.339037229284888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FF67-4C65-BB5D-B283B9E74978}"/>
                </c:ext>
              </c:extLst>
            </c:dLbl>
            <c:dLbl>
              <c:idx val="1"/>
              <c:layout>
                <c:manualLayout>
                  <c:x val="-4.9055924908157134E-2"/>
                  <c:y val="-0.1048950131233596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F67-4C65-BB5D-B283B9E74978}"/>
                </c:ext>
              </c:extLst>
            </c:dLbl>
            <c:dLbl>
              <c:idx val="2"/>
              <c:layout>
                <c:manualLayout>
                  <c:x val="0.11245075665716395"/>
                  <c:y val="2.765984251968584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FF67-4C65-BB5D-B283B9E74978}"/>
                </c:ext>
              </c:extLst>
            </c:dLbl>
            <c:spPr>
              <a:noFill/>
              <a:ln>
                <a:noFill/>
              </a:ln>
              <a:effectLst/>
            </c:spPr>
            <c:txPr>
              <a:bodyPr/>
              <a:lstStyle/>
              <a:p>
                <a:pPr>
                  <a:defRPr sz="1000"/>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'Pipeline Demographics-Active'!$A$6:$A$9</c:f>
              <c:strCache>
                <c:ptCount val="4"/>
                <c:pt idx="0">
                  <c:v>Special Needs (PSH)</c:v>
                </c:pt>
                <c:pt idx="1">
                  <c:v>Senior </c:v>
                </c:pt>
                <c:pt idx="2">
                  <c:v>SF For Sale</c:v>
                </c:pt>
                <c:pt idx="3">
                  <c:v>Family </c:v>
                </c:pt>
              </c:strCache>
            </c:strRef>
          </c:cat>
          <c:val>
            <c:numRef>
              <c:f>'Pipeline Demographics-Active'!$C$6:$C$9</c:f>
              <c:numCache>
                <c:formatCode>0.0%</c:formatCode>
                <c:ptCount val="4"/>
                <c:pt idx="0">
                  <c:v>0.29166666666666669</c:v>
                </c:pt>
                <c:pt idx="1">
                  <c:v>0.41666666666666669</c:v>
                </c:pt>
                <c:pt idx="2">
                  <c:v>0</c:v>
                </c:pt>
                <c:pt idx="3">
                  <c:v>0.29166666666666669</c:v>
                </c:pt>
              </c:numCache>
            </c:numRef>
          </c:val>
          <c:extLst>
            <c:ext xmlns:c16="http://schemas.microsoft.com/office/drawing/2014/chart" uri="{C3380CC4-5D6E-409C-BE32-E72D297353CC}">
              <c16:uniqueId val="{00000003-FF67-4C65-BB5D-B283B9E74978}"/>
            </c:ext>
          </c:extLst>
        </c:ser>
        <c:dLbls>
          <c:showLegendKey val="0"/>
          <c:showVal val="0"/>
          <c:showCatName val="0"/>
          <c:showSerName val="0"/>
          <c:showPercent val="0"/>
          <c:showBubbleSize val="0"/>
          <c:showLeaderLines val="1"/>
        </c:dLbls>
      </c:pie3DChart>
    </c:plotArea>
    <c:plotVisOnly val="1"/>
    <c:dispBlanksAs val="gap"/>
    <c:showDLblsOverMax val="0"/>
  </c:chart>
  <c:spPr>
    <a:ln w="31750">
      <a:solidFill>
        <a:schemeClr val="tx2">
          <a:lumMod val="75000"/>
        </a:schemeClr>
      </a:solidFill>
    </a:ln>
    <a:effectLst>
      <a:outerShdw blurRad="50800" dist="38100" dir="2700000" algn="tl" rotWithShape="0">
        <a:prstClr val="black">
          <a:alpha val="40000"/>
        </a:prstClr>
      </a:outerShdw>
    </a:effectLst>
  </c:spPr>
  <c:printSettings>
    <c:headerFooter/>
    <c:pageMargins b="0.75000000000000833" l="0.70000000000000062" r="0.70000000000000062" t="0.750000000000008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40"/>
      <c:rotY val="160"/>
      <c:rAngAx val="0"/>
    </c:view3D>
    <c:floor>
      <c:thickness val="0"/>
    </c:floor>
    <c:sideWall>
      <c:thickness val="0"/>
    </c:sideWall>
    <c:backWall>
      <c:thickness val="0"/>
    </c:backWall>
    <c:plotArea>
      <c:layout>
        <c:manualLayout>
          <c:layoutTarget val="inner"/>
          <c:xMode val="edge"/>
          <c:yMode val="edge"/>
          <c:x val="0.10135183209947396"/>
          <c:y val="0.19484046421908105"/>
          <c:w val="0.78475009178443167"/>
          <c:h val="0.71134680454099863"/>
        </c:manualLayout>
      </c:layout>
      <c:pie3DChart>
        <c:varyColors val="1"/>
        <c:ser>
          <c:idx val="0"/>
          <c:order val="0"/>
          <c:dLbls>
            <c:dLbl>
              <c:idx val="0"/>
              <c:delete val="1"/>
              <c:extLst>
                <c:ext xmlns:c15="http://schemas.microsoft.com/office/drawing/2012/chart" uri="{CE6537A1-D6FC-4f65-9D91-7224C49458BB}"/>
                <c:ext xmlns:c16="http://schemas.microsoft.com/office/drawing/2014/chart" uri="{C3380CC4-5D6E-409C-BE32-E72D297353CC}">
                  <c16:uniqueId val="{00000000-4FF6-484D-A783-45025C332F3D}"/>
                </c:ext>
              </c:extLst>
            </c:dLbl>
            <c:dLbl>
              <c:idx val="1"/>
              <c:delete val="1"/>
              <c:extLst>
                <c:ext xmlns:c15="http://schemas.microsoft.com/office/drawing/2012/chart" uri="{CE6537A1-D6FC-4f65-9D91-7224C49458BB}"/>
                <c:ext xmlns:c16="http://schemas.microsoft.com/office/drawing/2014/chart" uri="{C3380CC4-5D6E-409C-BE32-E72D297353CC}">
                  <c16:uniqueId val="{00000001-4FF6-484D-A783-45025C332F3D}"/>
                </c:ext>
              </c:extLst>
            </c:dLbl>
            <c:dLbl>
              <c:idx val="2"/>
              <c:layout>
                <c:manualLayout>
                  <c:x val="-5.5972850149305836E-2"/>
                  <c:y val="-1.890227576974572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F6-484D-A783-45025C332F3D}"/>
                </c:ext>
              </c:extLst>
            </c:dLbl>
            <c:dLbl>
              <c:idx val="3"/>
              <c:layout>
                <c:manualLayout>
                  <c:x val="2.7339585953392798E-2"/>
                  <c:y val="-7.117941582603379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F6-484D-A783-45025C332F3D}"/>
                </c:ext>
              </c:extLst>
            </c:dLbl>
            <c:dLbl>
              <c:idx val="4"/>
              <c:layout>
                <c:manualLayout>
                  <c:x val="-2.2361248976615566E-2"/>
                  <c:y val="-2.141900937081660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F6-484D-A783-45025C332F3D}"/>
                </c:ext>
              </c:extLst>
            </c:dLbl>
            <c:dLbl>
              <c:idx val="5"/>
              <c:layout>
                <c:manualLayout>
                  <c:x val="-5.3462494556969976E-2"/>
                  <c:y val="-0.1082288207949909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F6-484D-A783-45025C332F3D}"/>
                </c:ext>
              </c:extLst>
            </c:dLbl>
            <c:dLbl>
              <c:idx val="6"/>
              <c:layout>
                <c:manualLayout>
                  <c:x val="-9.2674606243997645E-3"/>
                  <c:y val="3.5758783164152675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F6-484D-A783-45025C332F3D}"/>
                </c:ext>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numRef>
              <c:f>'Pipeline Demographics-Inactive'!$A$64:$A$71</c:f>
              <c:numCache>
                <c:formatCode>General</c:formatCode>
                <c:ptCount val="8"/>
                <c:pt idx="0">
                  <c:v>2011</c:v>
                </c:pt>
                <c:pt idx="1">
                  <c:v>2012</c:v>
                </c:pt>
                <c:pt idx="2">
                  <c:v>2013</c:v>
                </c:pt>
                <c:pt idx="3">
                  <c:v>2014</c:v>
                </c:pt>
                <c:pt idx="4">
                  <c:v>2015</c:v>
                </c:pt>
                <c:pt idx="5">
                  <c:v>2016</c:v>
                </c:pt>
                <c:pt idx="6">
                  <c:v>2017</c:v>
                </c:pt>
                <c:pt idx="7">
                  <c:v>2018</c:v>
                </c:pt>
              </c:numCache>
            </c:numRef>
          </c:cat>
          <c:val>
            <c:numRef>
              <c:f>'Pipeline Demographics-Inactive'!$C$64:$C$71</c:f>
              <c:numCache>
                <c:formatCode>0.0%</c:formatCode>
                <c:ptCount val="8"/>
                <c:pt idx="0">
                  <c:v>0</c:v>
                </c:pt>
                <c:pt idx="1">
                  <c:v>0</c:v>
                </c:pt>
                <c:pt idx="2">
                  <c:v>0.21428571428571427</c:v>
                </c:pt>
                <c:pt idx="3">
                  <c:v>0.35714285714285715</c:v>
                </c:pt>
                <c:pt idx="4">
                  <c:v>0.21428571428571427</c:v>
                </c:pt>
                <c:pt idx="5">
                  <c:v>0.21428571428571427</c:v>
                </c:pt>
                <c:pt idx="6">
                  <c:v>0</c:v>
                </c:pt>
                <c:pt idx="7">
                  <c:v>0</c:v>
                </c:pt>
              </c:numCache>
            </c:numRef>
          </c:val>
          <c:extLst>
            <c:ext xmlns:c16="http://schemas.microsoft.com/office/drawing/2014/chart" uri="{C3380CC4-5D6E-409C-BE32-E72D297353CC}">
              <c16:uniqueId val="{00000007-4FF6-484D-A783-45025C332F3D}"/>
            </c:ext>
          </c:extLst>
        </c:ser>
        <c:dLbls>
          <c:showLegendKey val="0"/>
          <c:showVal val="0"/>
          <c:showCatName val="0"/>
          <c:showSerName val="0"/>
          <c:showPercent val="0"/>
          <c:showBubbleSize val="0"/>
          <c:showLeaderLines val="1"/>
        </c:dLbls>
      </c:pie3DChart>
    </c:plotArea>
    <c:plotVisOnly val="1"/>
    <c:dispBlanksAs val="gap"/>
    <c:showDLblsOverMax val="0"/>
  </c:chart>
  <c:spPr>
    <a:ln w="31750">
      <a:solidFill>
        <a:srgbClr val="1F497D">
          <a:lumMod val="75000"/>
        </a:srgbClr>
      </a:solidFill>
    </a:ln>
    <a:effectLst>
      <a:outerShdw blurRad="50800" dist="38100" dir="2700000" algn="tl" rotWithShape="0">
        <a:prstClr val="black">
          <a:alpha val="40000"/>
        </a:prstClr>
      </a:outerShdw>
    </a:effectLst>
  </c:spPr>
  <c:printSettings>
    <c:headerFooter/>
    <c:pageMargins b="0.75000000000000899" l="0.70000000000000062" r="0.70000000000000062" t="0.750000000000008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40"/>
      <c:rotY val="90"/>
      <c:rAngAx val="0"/>
    </c:view3D>
    <c:floor>
      <c:thickness val="0"/>
    </c:floor>
    <c:sideWall>
      <c:thickness val="0"/>
    </c:sideWall>
    <c:backWall>
      <c:thickness val="0"/>
    </c:backWall>
    <c:plotArea>
      <c:layout>
        <c:manualLayout>
          <c:layoutTarget val="inner"/>
          <c:xMode val="edge"/>
          <c:yMode val="edge"/>
          <c:x val="3.9904254551929592E-2"/>
          <c:y val="0.14879397058607974"/>
          <c:w val="0.8796649739000818"/>
          <c:h val="0.79537295268259256"/>
        </c:manualLayout>
      </c:layout>
      <c:pie3DChart>
        <c:varyColors val="1"/>
        <c:ser>
          <c:idx val="0"/>
          <c:order val="0"/>
          <c:dLbls>
            <c:dLbl>
              <c:idx val="0"/>
              <c:layout>
                <c:manualLayout>
                  <c:x val="6.3114046611426472E-2"/>
                  <c:y val="-8.57364829396347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448B-4CD8-B432-79EFFC287F70}"/>
                </c:ext>
              </c:extLst>
            </c:dLbl>
            <c:dLbl>
              <c:idx val="1"/>
              <c:layout>
                <c:manualLayout>
                  <c:x val="-6.582643153868617E-2"/>
                  <c:y val="-8.0605287467558177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48B-4CD8-B432-79EFFC287F70}"/>
                </c:ext>
              </c:extLst>
            </c:dLbl>
            <c:dLbl>
              <c:idx val="2"/>
              <c:layout>
                <c:manualLayout>
                  <c:x val="-0.22553662955855067"/>
                  <c:y val="7.980117010513350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448B-4CD8-B432-79EFFC287F70}"/>
                </c:ext>
              </c:extLst>
            </c:dLbl>
            <c:dLbl>
              <c:idx val="3"/>
              <c:layout>
                <c:manualLayout>
                  <c:x val="5.2182928564909629E-2"/>
                  <c:y val="-0.13452631270253229"/>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448B-4CD8-B432-79EFFC287F70}"/>
                </c:ext>
              </c:extLst>
            </c:dLbl>
            <c:spPr>
              <a:noFill/>
              <a:ln>
                <a:noFill/>
              </a:ln>
              <a:effectLst/>
            </c:spPr>
            <c:txPr>
              <a:bodyPr/>
              <a:lstStyle/>
              <a:p>
                <a:pPr>
                  <a:defRPr sz="1000"/>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'Pipeline Demographics-ALL'!$A$5:$A$8</c:f>
              <c:strCache>
                <c:ptCount val="4"/>
                <c:pt idx="0">
                  <c:v>Special Needs (PSH)</c:v>
                </c:pt>
                <c:pt idx="1">
                  <c:v>Senior </c:v>
                </c:pt>
                <c:pt idx="2">
                  <c:v>Family </c:v>
                </c:pt>
                <c:pt idx="3">
                  <c:v>For Sale</c:v>
                </c:pt>
              </c:strCache>
            </c:strRef>
          </c:cat>
          <c:val>
            <c:numRef>
              <c:f>'Pipeline Demographics-ALL'!$C$5:$C$8</c:f>
              <c:numCache>
                <c:formatCode>0.0%</c:formatCode>
                <c:ptCount val="4"/>
                <c:pt idx="0">
                  <c:v>0.21951219512195122</c:v>
                </c:pt>
                <c:pt idx="1">
                  <c:v>0.34146341463414637</c:v>
                </c:pt>
                <c:pt idx="2">
                  <c:v>0.34146341463414637</c:v>
                </c:pt>
                <c:pt idx="3">
                  <c:v>9.7560975609756101E-2</c:v>
                </c:pt>
              </c:numCache>
            </c:numRef>
          </c:val>
          <c:extLst>
            <c:ext xmlns:c16="http://schemas.microsoft.com/office/drawing/2014/chart" uri="{C3380CC4-5D6E-409C-BE32-E72D297353CC}">
              <c16:uniqueId val="{00000004-448B-4CD8-B432-79EFFC287F70}"/>
            </c:ext>
          </c:extLst>
        </c:ser>
        <c:dLbls>
          <c:showLegendKey val="0"/>
          <c:showVal val="0"/>
          <c:showCatName val="0"/>
          <c:showSerName val="0"/>
          <c:showPercent val="0"/>
          <c:showBubbleSize val="0"/>
          <c:showLeaderLines val="1"/>
        </c:dLbls>
      </c:pie3DChart>
    </c:plotArea>
    <c:plotVisOnly val="1"/>
    <c:dispBlanksAs val="gap"/>
    <c:showDLblsOverMax val="0"/>
  </c:chart>
  <c:spPr>
    <a:ln w="31750">
      <a:solidFill>
        <a:schemeClr val="tx2">
          <a:lumMod val="75000"/>
        </a:schemeClr>
      </a:solidFill>
    </a:ln>
    <a:effectLst>
      <a:outerShdw blurRad="50800" dist="38100" dir="2700000" algn="tl" rotWithShape="0">
        <a:prstClr val="black">
          <a:alpha val="40000"/>
        </a:prstClr>
      </a:outerShdw>
    </a:effectLst>
  </c:spPr>
  <c:printSettings>
    <c:headerFooter/>
    <c:pageMargins b="0.75000000000000877" l="0.70000000000000062" r="0.70000000000000062" t="0.7500000000000087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40"/>
      <c:rotY val="140"/>
      <c:rAngAx val="0"/>
    </c:view3D>
    <c:floor>
      <c:thickness val="0"/>
    </c:floor>
    <c:sideWall>
      <c:thickness val="0"/>
    </c:sideWall>
    <c:backWall>
      <c:thickness val="0"/>
    </c:backWall>
    <c:plotArea>
      <c:layout>
        <c:manualLayout>
          <c:layoutTarget val="inner"/>
          <c:xMode val="edge"/>
          <c:yMode val="edge"/>
          <c:x val="9.8893469581813845E-2"/>
          <c:y val="0.23160565904871416"/>
          <c:w val="0.80221306083637756"/>
          <c:h val="0.73191063312209015"/>
        </c:manualLayout>
      </c:layout>
      <c:pie3DChart>
        <c:varyColors val="1"/>
        <c:ser>
          <c:idx val="0"/>
          <c:order val="0"/>
          <c:dLbls>
            <c:dLbl>
              <c:idx val="0"/>
              <c:layout>
                <c:manualLayout>
                  <c:x val="-3.6328585477683842E-4"/>
                  <c:y val="-0.1508644206359452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BA5-4FFF-930D-354418A4EC7E}"/>
                </c:ext>
              </c:extLst>
            </c:dLbl>
            <c:dLbl>
              <c:idx val="1"/>
              <c:layout>
                <c:manualLayout>
                  <c:x val="4.1992536292764886E-2"/>
                  <c:y val="-0.1172290348952282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BA5-4FFF-930D-354418A4EC7E}"/>
                </c:ext>
              </c:extLst>
            </c:dLbl>
            <c:dLbl>
              <c:idx val="2"/>
              <c:layout>
                <c:manualLayout>
                  <c:x val="7.9690770663592619E-2"/>
                  <c:y val="-9.876396597966519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ABA5-4FFF-930D-354418A4EC7E}"/>
                </c:ext>
              </c:extLst>
            </c:dLbl>
            <c:dLbl>
              <c:idx val="3"/>
              <c:layout>
                <c:manualLayout>
                  <c:x val="8.0348306337638328E-2"/>
                  <c:y val="1.18181948567904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BA5-4FFF-930D-354418A4EC7E}"/>
                </c:ext>
              </c:extLst>
            </c:dLbl>
            <c:spPr>
              <a:noFill/>
              <a:ln>
                <a:noFill/>
              </a:ln>
              <a:effectLst/>
            </c:spPr>
            <c:txPr>
              <a:bodyPr/>
              <a:lstStyle/>
              <a:p>
                <a:pPr>
                  <a:defRPr sz="800"/>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'Pipeline Demographics-ALL'!$A$36:$A$39</c:f>
              <c:strCache>
                <c:ptCount val="4"/>
                <c:pt idx="0">
                  <c:v>New Construction</c:v>
                </c:pt>
                <c:pt idx="1">
                  <c:v>Acquisition/ Rehab</c:v>
                </c:pt>
                <c:pt idx="2">
                  <c:v>Adaptive/ Rehab</c:v>
                </c:pt>
                <c:pt idx="3">
                  <c:v>Refinance/ Rehab</c:v>
                </c:pt>
              </c:strCache>
            </c:strRef>
          </c:cat>
          <c:val>
            <c:numRef>
              <c:f>'Pipeline Demographics-ALL'!$C$36:$C$39</c:f>
              <c:numCache>
                <c:formatCode>0.0%</c:formatCode>
                <c:ptCount val="4"/>
                <c:pt idx="0">
                  <c:v>0.70731707317073167</c:v>
                </c:pt>
                <c:pt idx="1">
                  <c:v>9.7560975609756101E-2</c:v>
                </c:pt>
                <c:pt idx="2">
                  <c:v>0.12195121951219512</c:v>
                </c:pt>
                <c:pt idx="3">
                  <c:v>7.3170731707317069E-2</c:v>
                </c:pt>
              </c:numCache>
            </c:numRef>
          </c:val>
          <c:extLst>
            <c:ext xmlns:c16="http://schemas.microsoft.com/office/drawing/2014/chart" uri="{C3380CC4-5D6E-409C-BE32-E72D297353CC}">
              <c16:uniqueId val="{00000004-ABA5-4FFF-930D-354418A4EC7E}"/>
            </c:ext>
          </c:extLst>
        </c:ser>
        <c:dLbls>
          <c:showLegendKey val="0"/>
          <c:showVal val="0"/>
          <c:showCatName val="0"/>
          <c:showSerName val="0"/>
          <c:showPercent val="0"/>
          <c:showBubbleSize val="0"/>
          <c:showLeaderLines val="1"/>
        </c:dLbls>
      </c:pie3DChart>
    </c:plotArea>
    <c:plotVisOnly val="1"/>
    <c:dispBlanksAs val="gap"/>
    <c:showDLblsOverMax val="0"/>
  </c:chart>
  <c:spPr>
    <a:ln w="31750">
      <a:solidFill>
        <a:schemeClr val="tx2">
          <a:lumMod val="75000"/>
        </a:schemeClr>
      </a:solidFill>
    </a:ln>
    <a:effectLst>
      <a:outerShdw blurRad="50800" dist="38100" dir="2700000" algn="tl" rotWithShape="0">
        <a:prstClr val="black">
          <a:alpha val="40000"/>
        </a:prstClr>
      </a:outerShdw>
    </a:effectLst>
  </c:spPr>
  <c:printSettings>
    <c:headerFooter/>
    <c:pageMargins b="0.75000000000000899" l="0.70000000000000062" r="0.70000000000000062" t="0.7500000000000089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40"/>
      <c:rotY val="170"/>
      <c:rAngAx val="0"/>
    </c:view3D>
    <c:floor>
      <c:thickness val="0"/>
    </c:floor>
    <c:sideWall>
      <c:thickness val="0"/>
    </c:sideWall>
    <c:backWall>
      <c:thickness val="0"/>
    </c:backWall>
    <c:plotArea>
      <c:layout>
        <c:manualLayout>
          <c:layoutTarget val="inner"/>
          <c:xMode val="edge"/>
          <c:yMode val="edge"/>
          <c:x val="0.10069441691425612"/>
          <c:y val="0.21583307086614431"/>
          <c:w val="0.79861116617148864"/>
          <c:h val="0.72833385826771668"/>
        </c:manualLayout>
      </c:layout>
      <c:pie3DChart>
        <c:varyColors val="1"/>
        <c:ser>
          <c:idx val="0"/>
          <c:order val="0"/>
          <c:dLbls>
            <c:dLbl>
              <c:idx val="0"/>
              <c:layout>
                <c:manualLayout>
                  <c:x val="-0.10598012194331854"/>
                  <c:y val="0.1153805774278215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C8B-43E8-8A39-EE0BA1C0F99E}"/>
                </c:ext>
              </c:extLst>
            </c:dLbl>
            <c:dLbl>
              <c:idx val="1"/>
              <c:layout>
                <c:manualLayout>
                  <c:x val="0.11203785890400055"/>
                  <c:y val="-3.701637853927496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C8B-43E8-8A39-EE0BA1C0F99E}"/>
                </c:ext>
              </c:extLst>
            </c:dLbl>
            <c:dLbl>
              <c:idx val="2"/>
              <c:layout>
                <c:manualLayout>
                  <c:x val="7.7046051061799098E-2"/>
                  <c:y val="-0.1287649379023154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5C8B-43E8-8A39-EE0BA1C0F99E}"/>
                </c:ext>
              </c:extLst>
            </c:dLbl>
            <c:dLbl>
              <c:idx val="3"/>
              <c:layout>
                <c:manualLayout>
                  <c:x val="9.3949574485007556E-2"/>
                  <c:y val="-2.997170046481633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C8B-43E8-8A39-EE0BA1C0F99E}"/>
                </c:ext>
              </c:extLst>
            </c:dLbl>
            <c:spPr>
              <a:noFill/>
              <a:ln>
                <a:noFill/>
              </a:ln>
              <a:effectLst/>
            </c:spPr>
            <c:txPr>
              <a:bodyPr/>
              <a:lstStyle/>
              <a:p>
                <a:pPr>
                  <a:defRPr sz="900"/>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'Pipeline Demographics-ALL'!$A$17:$A$27</c:f>
              <c:strCache>
                <c:ptCount val="4"/>
                <c:pt idx="0">
                  <c:v>Chicago</c:v>
                </c:pt>
                <c:pt idx="1">
                  <c:v>Milwaukee</c:v>
                </c:pt>
                <c:pt idx="2">
                  <c:v>Collar Counties</c:v>
                </c:pt>
                <c:pt idx="3">
                  <c:v>Downstate/ Other States</c:v>
                </c:pt>
              </c:strCache>
            </c:strRef>
          </c:cat>
          <c:val>
            <c:numRef>
              <c:f>'Pipeline Demographics-ALL'!$C$17:$C$27</c:f>
              <c:numCache>
                <c:formatCode>0.0%</c:formatCode>
                <c:ptCount val="4"/>
                <c:pt idx="0">
                  <c:v>0.58536585365853655</c:v>
                </c:pt>
                <c:pt idx="1">
                  <c:v>0.12195121951219512</c:v>
                </c:pt>
                <c:pt idx="2">
                  <c:v>0.17073170731707318</c:v>
                </c:pt>
                <c:pt idx="3">
                  <c:v>0.12195121951219512</c:v>
                </c:pt>
              </c:numCache>
            </c:numRef>
          </c:val>
          <c:extLst>
            <c:ext xmlns:c16="http://schemas.microsoft.com/office/drawing/2014/chart" uri="{C3380CC4-5D6E-409C-BE32-E72D297353CC}">
              <c16:uniqueId val="{00000004-5C8B-43E8-8A39-EE0BA1C0F99E}"/>
            </c:ext>
          </c:extLst>
        </c:ser>
        <c:dLbls>
          <c:showLegendKey val="0"/>
          <c:showVal val="0"/>
          <c:showCatName val="0"/>
          <c:showSerName val="0"/>
          <c:showPercent val="0"/>
          <c:showBubbleSize val="0"/>
          <c:showLeaderLines val="1"/>
        </c:dLbls>
      </c:pie3DChart>
    </c:plotArea>
    <c:plotVisOnly val="1"/>
    <c:dispBlanksAs val="gap"/>
    <c:showDLblsOverMax val="0"/>
  </c:chart>
  <c:spPr>
    <a:ln w="31750">
      <a:solidFill>
        <a:schemeClr val="tx2">
          <a:lumMod val="75000"/>
        </a:schemeClr>
      </a:solidFill>
    </a:ln>
    <a:effectLst>
      <a:outerShdw blurRad="50800" dist="38100" dir="2700000" algn="tl" rotWithShape="0">
        <a:prstClr val="black">
          <a:alpha val="40000"/>
        </a:prstClr>
      </a:outerShdw>
    </a:effectLst>
  </c:spPr>
  <c:printSettings>
    <c:headerFooter/>
    <c:pageMargins b="0.75000000000000899" l="0.70000000000000062" r="0.70000000000000062" t="0.7500000000000089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40"/>
      <c:rotY val="160"/>
      <c:rAngAx val="0"/>
    </c:view3D>
    <c:floor>
      <c:thickness val="0"/>
    </c:floor>
    <c:sideWall>
      <c:thickness val="0"/>
    </c:sideWall>
    <c:backWall>
      <c:thickness val="0"/>
    </c:backWall>
    <c:plotArea>
      <c:layout>
        <c:manualLayout>
          <c:layoutTarget val="inner"/>
          <c:xMode val="edge"/>
          <c:yMode val="edge"/>
          <c:x val="9.8893476730043423E-2"/>
          <c:y val="0.1546825156470826"/>
          <c:w val="0.80221306083637756"/>
          <c:h val="0.73191063312209048"/>
        </c:manualLayout>
      </c:layout>
      <c:pie3DChart>
        <c:varyColors val="1"/>
        <c:ser>
          <c:idx val="0"/>
          <c:order val="0"/>
          <c:dLbls>
            <c:dLbl>
              <c:idx val="0"/>
              <c:layout>
                <c:manualLayout>
                  <c:x val="-0.13048172332117022"/>
                  <c:y val="-2.594639612356160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F7CB-4CB9-AC5A-3D36C953F5CA}"/>
                </c:ext>
              </c:extLst>
            </c:dLbl>
            <c:dLbl>
              <c:idx val="1"/>
              <c:layout>
                <c:manualLayout>
                  <c:x val="-8.774630305358172E-2"/>
                  <c:y val="-5.803301029678983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7CB-4CB9-AC5A-3D36C953F5CA}"/>
                </c:ext>
              </c:extLst>
            </c:dLbl>
            <c:dLbl>
              <c:idx val="2"/>
              <c:layout>
                <c:manualLayout>
                  <c:x val="6.3246517262265295E-2"/>
                  <c:y val="-0.10265708589704935"/>
                </c:manualLayout>
              </c:layout>
              <c:tx>
                <c:rich>
                  <a:bodyPr/>
                  <a:lstStyle/>
                  <a:p>
                    <a:pPr>
                      <a:defRPr sz="700"/>
                    </a:pPr>
                    <a:r>
                      <a:rPr lang="en-US" sz="700"/>
                      <a:t>Development 4.7%</a:t>
                    </a:r>
                  </a:p>
                </c:rich>
              </c:tx>
              <c:sp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F7CB-4CB9-AC5A-3D36C953F5CA}"/>
                </c:ext>
              </c:extLst>
            </c:dLbl>
            <c:dLbl>
              <c:idx val="3"/>
              <c:layout>
                <c:manualLayout>
                  <c:x val="4.6989703210175648E-2"/>
                  <c:y val="5.694993043902298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F7CB-4CB9-AC5A-3D36C953F5CA}"/>
                </c:ext>
              </c:extLst>
            </c:dLbl>
            <c:dLbl>
              <c:idx val="4"/>
              <c:delete val="1"/>
              <c:extLst>
                <c:ext xmlns:c15="http://schemas.microsoft.com/office/drawing/2012/chart" uri="{CE6537A1-D6FC-4f65-9D91-7224C49458BB}"/>
                <c:ext xmlns:c16="http://schemas.microsoft.com/office/drawing/2014/chart" uri="{C3380CC4-5D6E-409C-BE32-E72D297353CC}">
                  <c16:uniqueId val="{00000004-F7CB-4CB9-AC5A-3D36C953F5CA}"/>
                </c:ext>
              </c:extLst>
            </c:dLbl>
            <c:spPr>
              <a:noFill/>
              <a:ln>
                <a:noFill/>
              </a:ln>
              <a:effectLst/>
            </c:spPr>
            <c:txPr>
              <a:bodyPr/>
              <a:lstStyle/>
              <a:p>
                <a:pPr>
                  <a:defRPr sz="800"/>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'Pipeline Demographics-ALL'!$A$49:$A$54</c:f>
              <c:strCache>
                <c:ptCount val="6"/>
                <c:pt idx="0">
                  <c:v>Prospect</c:v>
                </c:pt>
                <c:pt idx="1">
                  <c:v>Feasibility</c:v>
                </c:pt>
                <c:pt idx="2">
                  <c:v>Development</c:v>
                </c:pt>
                <c:pt idx="3">
                  <c:v>Construction</c:v>
                </c:pt>
                <c:pt idx="4">
                  <c:v>Operations - Lease Up</c:v>
                </c:pt>
                <c:pt idx="5">
                  <c:v>Operations - Close Out</c:v>
                </c:pt>
              </c:strCache>
            </c:strRef>
          </c:cat>
          <c:val>
            <c:numRef>
              <c:f>'Pipeline Demographics-ALL'!$C$49:$C$54</c:f>
              <c:numCache>
                <c:formatCode>0.0%</c:formatCode>
                <c:ptCount val="6"/>
                <c:pt idx="0">
                  <c:v>0.21951219512195122</c:v>
                </c:pt>
                <c:pt idx="1">
                  <c:v>0.48780487804878048</c:v>
                </c:pt>
                <c:pt idx="2">
                  <c:v>9.7560975609756101E-2</c:v>
                </c:pt>
                <c:pt idx="3">
                  <c:v>4.878048780487805E-2</c:v>
                </c:pt>
                <c:pt idx="4">
                  <c:v>2.4390243902439025E-2</c:v>
                </c:pt>
                <c:pt idx="5">
                  <c:v>0.12195121951219512</c:v>
                </c:pt>
              </c:numCache>
            </c:numRef>
          </c:val>
          <c:extLst>
            <c:ext xmlns:c16="http://schemas.microsoft.com/office/drawing/2014/chart" uri="{C3380CC4-5D6E-409C-BE32-E72D297353CC}">
              <c16:uniqueId val="{00000005-F7CB-4CB9-AC5A-3D36C953F5CA}"/>
            </c:ext>
          </c:extLst>
        </c:ser>
        <c:dLbls>
          <c:showLegendKey val="0"/>
          <c:showVal val="0"/>
          <c:showCatName val="0"/>
          <c:showSerName val="0"/>
          <c:showPercent val="0"/>
          <c:showBubbleSize val="0"/>
          <c:showLeaderLines val="1"/>
        </c:dLbls>
      </c:pie3DChart>
    </c:plotArea>
    <c:plotVisOnly val="1"/>
    <c:dispBlanksAs val="gap"/>
    <c:showDLblsOverMax val="0"/>
  </c:chart>
  <c:spPr>
    <a:ln w="31750">
      <a:solidFill>
        <a:schemeClr val="tx2">
          <a:lumMod val="75000"/>
        </a:schemeClr>
      </a:solidFill>
    </a:ln>
    <a:effectLst>
      <a:outerShdw blurRad="50800" dist="38100" dir="2700000" algn="tl" rotWithShape="0">
        <a:prstClr val="black">
          <a:alpha val="40000"/>
        </a:prstClr>
      </a:outerShdw>
    </a:effectLst>
  </c:spPr>
  <c:printSettings>
    <c:headerFooter/>
    <c:pageMargins b="0.75000000000000921" l="0.70000000000000062" r="0.70000000000000062" t="0.7500000000000092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40"/>
      <c:rotY val="190"/>
      <c:rAngAx val="0"/>
    </c:view3D>
    <c:floor>
      <c:thickness val="0"/>
    </c:floor>
    <c:sideWall>
      <c:thickness val="0"/>
    </c:sideWall>
    <c:backWall>
      <c:thickness val="0"/>
    </c:backWall>
    <c:plotArea>
      <c:layout>
        <c:manualLayout>
          <c:layoutTarget val="inner"/>
          <c:xMode val="edge"/>
          <c:yMode val="edge"/>
          <c:x val="0.10135183209947396"/>
          <c:y val="0.14129294079204038"/>
          <c:w val="0.78475009178443167"/>
          <c:h val="0.71134680454099863"/>
        </c:manualLayout>
      </c:layout>
      <c:pie3DChart>
        <c:varyColors val="1"/>
        <c:ser>
          <c:idx val="1"/>
          <c:order val="0"/>
          <c:dLbls>
            <c:dLbl>
              <c:idx val="1"/>
              <c:layout>
                <c:manualLayout>
                  <c:x val="-3.595103691900299E-2"/>
                  <c:y val="4.3377710316331109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6D-4DAF-B59E-52BA8AE62B1B}"/>
                </c:ext>
              </c:extLst>
            </c:dLbl>
            <c:dLbl>
              <c:idx val="2"/>
              <c:layout>
                <c:manualLayout>
                  <c:x val="2.027321244878354E-2"/>
                  <c:y val="-8.958205525514130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6D-4DAF-B59E-52BA8AE62B1B}"/>
                </c:ext>
              </c:extLst>
            </c:dLbl>
            <c:dLbl>
              <c:idx val="3"/>
              <c:layout>
                <c:manualLayout>
                  <c:x val="3.7596990292827911E-2"/>
                  <c:y val="-8.1847600375254508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6D-4DAF-B59E-52BA8AE62B1B}"/>
                </c:ext>
              </c:extLst>
            </c:dLbl>
            <c:dLbl>
              <c:idx val="4"/>
              <c:layout>
                <c:manualLayout>
                  <c:x val="8.7214974159638848E-3"/>
                  <c:y val="-0.151294521919699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6D-4DAF-B59E-52BA8AE62B1B}"/>
                </c:ext>
              </c:extLst>
            </c:dLbl>
            <c:dLbl>
              <c:idx val="7"/>
              <c:layout>
                <c:manualLayout>
                  <c:x val="-5.4016047175774904E-3"/>
                  <c:y val="-9.8527443105757249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6D-4DAF-B59E-52BA8AE62B1B}"/>
                </c:ext>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numRef>
              <c:f>'Pipeline Demographics-ALL'!$A$63:$A$70</c:f>
              <c:numCache>
                <c:formatCode>General</c:formatCode>
                <c:ptCount val="8"/>
                <c:pt idx="0">
                  <c:v>2011</c:v>
                </c:pt>
                <c:pt idx="1">
                  <c:v>2012</c:v>
                </c:pt>
                <c:pt idx="2">
                  <c:v>2013</c:v>
                </c:pt>
                <c:pt idx="3">
                  <c:v>2014</c:v>
                </c:pt>
                <c:pt idx="4">
                  <c:v>2015</c:v>
                </c:pt>
                <c:pt idx="5">
                  <c:v>2016</c:v>
                </c:pt>
                <c:pt idx="6">
                  <c:v>2017</c:v>
                </c:pt>
                <c:pt idx="7">
                  <c:v>2018</c:v>
                </c:pt>
              </c:numCache>
            </c:numRef>
          </c:cat>
          <c:val>
            <c:numRef>
              <c:f>'Pipeline Demographics-ALL'!$C$63:$C$70</c:f>
              <c:numCache>
                <c:formatCode>0.0%</c:formatCode>
                <c:ptCount val="8"/>
                <c:pt idx="0">
                  <c:v>6.25E-2</c:v>
                </c:pt>
                <c:pt idx="1">
                  <c:v>0.125</c:v>
                </c:pt>
                <c:pt idx="2">
                  <c:v>0.3125</c:v>
                </c:pt>
                <c:pt idx="3">
                  <c:v>0.25</c:v>
                </c:pt>
                <c:pt idx="4">
                  <c:v>0.15625</c:v>
                </c:pt>
                <c:pt idx="5">
                  <c:v>9.375E-2</c:v>
                </c:pt>
                <c:pt idx="6">
                  <c:v>0</c:v>
                </c:pt>
                <c:pt idx="7">
                  <c:v>0</c:v>
                </c:pt>
              </c:numCache>
            </c:numRef>
          </c:val>
          <c:extLst>
            <c:ext xmlns:c16="http://schemas.microsoft.com/office/drawing/2014/chart" uri="{C3380CC4-5D6E-409C-BE32-E72D297353CC}">
              <c16:uniqueId val="{00000005-E06D-4DAF-B59E-52BA8AE62B1B}"/>
            </c:ext>
          </c:extLst>
        </c:ser>
        <c:dLbls>
          <c:showLegendKey val="0"/>
          <c:showVal val="0"/>
          <c:showCatName val="0"/>
          <c:showSerName val="0"/>
          <c:showPercent val="0"/>
          <c:showBubbleSize val="0"/>
          <c:showLeaderLines val="1"/>
        </c:dLbls>
      </c:pie3DChart>
    </c:plotArea>
    <c:plotVisOnly val="1"/>
    <c:dispBlanksAs val="gap"/>
    <c:showDLblsOverMax val="0"/>
  </c:chart>
  <c:spPr>
    <a:ln w="31750">
      <a:solidFill>
        <a:srgbClr val="1F497D">
          <a:lumMod val="75000"/>
        </a:srgbClr>
      </a:solidFill>
    </a:ln>
    <a:effectLst>
      <a:outerShdw blurRad="50800" dist="38100" dir="2700000" algn="tl" rotWithShape="0">
        <a:prstClr val="black">
          <a:alpha val="40000"/>
        </a:prstClr>
      </a:outerShdw>
    </a:effectLst>
  </c:spPr>
  <c:printSettings>
    <c:headerFooter/>
    <c:pageMargins b="0.75000000000000921" l="0.70000000000000062" r="0.70000000000000062" t="0.750000000000009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40"/>
      <c:rotY val="220"/>
      <c:rAngAx val="0"/>
    </c:view3D>
    <c:floor>
      <c:thickness val="0"/>
    </c:floor>
    <c:sideWall>
      <c:thickness val="0"/>
    </c:sideWall>
    <c:backWall>
      <c:thickness val="0"/>
    </c:backWall>
    <c:plotArea>
      <c:layout>
        <c:manualLayout>
          <c:layoutTarget val="inner"/>
          <c:xMode val="edge"/>
          <c:yMode val="edge"/>
          <c:x val="0.10238547796200173"/>
          <c:y val="0.11983142107236595"/>
          <c:w val="0.80203188727441865"/>
          <c:h val="0.72978560848211826"/>
        </c:manualLayout>
      </c:layout>
      <c:pie3DChart>
        <c:varyColors val="1"/>
        <c:ser>
          <c:idx val="0"/>
          <c:order val="0"/>
          <c:dLbls>
            <c:dLbl>
              <c:idx val="0"/>
              <c:layout>
                <c:manualLayout>
                  <c:x val="-7.2461280073576523E-2"/>
                  <c:y val="-1.0841244844394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7A-46D9-B29F-E3ABFEA6F85E}"/>
                </c:ext>
              </c:extLst>
            </c:dLbl>
            <c:dLbl>
              <c:idx val="1"/>
              <c:layout>
                <c:manualLayout>
                  <c:x val="9.1498850635050005E-2"/>
                  <c:y val="2.941432320959878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7A-46D9-B29F-E3ABFEA6F85E}"/>
                </c:ext>
              </c:extLst>
            </c:dLbl>
            <c:dLbl>
              <c:idx val="2"/>
              <c:layout>
                <c:manualLayout>
                  <c:x val="7.8705721060120803E-2"/>
                  <c:y val="-1.018312710911138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7A-46D9-B29F-E3ABFEA6F85E}"/>
                </c:ext>
              </c:extLst>
            </c:dLbl>
            <c:spPr>
              <a:noFill/>
              <a:ln>
                <a:noFill/>
              </a:ln>
              <a:effectLst/>
            </c:spPr>
            <c:txPr>
              <a:bodyPr/>
              <a:lstStyle/>
              <a:p>
                <a:pPr>
                  <a:defRPr sz="900"/>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'Pipeline Demographics-Active'!$A$18:$A$28</c:f>
              <c:strCache>
                <c:ptCount val="8"/>
                <c:pt idx="0">
                  <c:v>Chicago</c:v>
                </c:pt>
                <c:pt idx="1">
                  <c:v>Milwaukee</c:v>
                </c:pt>
                <c:pt idx="2">
                  <c:v>Countryside</c:v>
                </c:pt>
                <c:pt idx="3">
                  <c:v>Grayslake</c:v>
                </c:pt>
                <c:pt idx="4">
                  <c:v>Kankakee</c:v>
                </c:pt>
                <c:pt idx="5">
                  <c:v>Collar Counties</c:v>
                </c:pt>
                <c:pt idx="6">
                  <c:v>Danville</c:v>
                </c:pt>
                <c:pt idx="7">
                  <c:v>Downstate/ Other States</c:v>
                </c:pt>
              </c:strCache>
            </c:strRef>
          </c:cat>
          <c:val>
            <c:numRef>
              <c:f>'Pipeline Demographics-Active'!$C$18:$C$28</c:f>
              <c:numCache>
                <c:formatCode>0.0%</c:formatCode>
                <c:ptCount val="8"/>
                <c:pt idx="0">
                  <c:v>0.58333333333333337</c:v>
                </c:pt>
                <c:pt idx="1">
                  <c:v>0.20833333333333334</c:v>
                </c:pt>
                <c:pt idx="2">
                  <c:v>4.1666666666666664E-2</c:v>
                </c:pt>
                <c:pt idx="3">
                  <c:v>4.1666666666666664E-2</c:v>
                </c:pt>
                <c:pt idx="4">
                  <c:v>4.1666666666666664E-2</c:v>
                </c:pt>
                <c:pt idx="5">
                  <c:v>0.125</c:v>
                </c:pt>
                <c:pt idx="6">
                  <c:v>8.3333333333333329E-2</c:v>
                </c:pt>
                <c:pt idx="7">
                  <c:v>8.3333333333333329E-2</c:v>
                </c:pt>
              </c:numCache>
            </c:numRef>
          </c:val>
          <c:extLst>
            <c:ext xmlns:c16="http://schemas.microsoft.com/office/drawing/2014/chart" uri="{C3380CC4-5D6E-409C-BE32-E72D297353CC}">
              <c16:uniqueId val="{00000003-177A-46D9-B29F-E3ABFEA6F85E}"/>
            </c:ext>
          </c:extLst>
        </c:ser>
        <c:dLbls>
          <c:showLegendKey val="0"/>
          <c:showVal val="0"/>
          <c:showCatName val="0"/>
          <c:showSerName val="0"/>
          <c:showPercent val="0"/>
          <c:showBubbleSize val="0"/>
          <c:showLeaderLines val="1"/>
        </c:dLbls>
      </c:pie3DChart>
    </c:plotArea>
    <c:plotVisOnly val="1"/>
    <c:dispBlanksAs val="gap"/>
    <c:showDLblsOverMax val="0"/>
  </c:chart>
  <c:spPr>
    <a:ln w="31750">
      <a:solidFill>
        <a:schemeClr val="tx2">
          <a:lumMod val="75000"/>
        </a:schemeClr>
      </a:solidFill>
    </a:ln>
    <a:effectLst>
      <a:outerShdw blurRad="50800" dist="38100" dir="2700000" algn="tl" rotWithShape="0">
        <a:prstClr val="black">
          <a:alpha val="40000"/>
        </a:prstClr>
      </a:outerShdw>
    </a:effectLst>
  </c:spPr>
  <c:printSettings>
    <c:headerFooter/>
    <c:pageMargins b="0.75000000000000855" l="0.70000000000000062" r="0.70000000000000062" t="0.750000000000008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40"/>
      <c:rotY val="170"/>
      <c:rAngAx val="0"/>
    </c:view3D>
    <c:floor>
      <c:thickness val="0"/>
    </c:floor>
    <c:sideWall>
      <c:thickness val="0"/>
    </c:sideWall>
    <c:backWall>
      <c:thickness val="0"/>
    </c:backWall>
    <c:plotArea>
      <c:layout>
        <c:manualLayout>
          <c:layoutTarget val="inner"/>
          <c:xMode val="edge"/>
          <c:yMode val="edge"/>
          <c:x val="9.8893583611955688E-2"/>
          <c:y val="0.18691300458951082"/>
          <c:w val="0.80221306083637756"/>
          <c:h val="0.7319106331220897"/>
        </c:manualLayout>
      </c:layout>
      <c:pie3DChart>
        <c:varyColors val="1"/>
        <c:ser>
          <c:idx val="0"/>
          <c:order val="0"/>
          <c:dLbls>
            <c:dLbl>
              <c:idx val="0"/>
              <c:layout>
                <c:manualLayout>
                  <c:x val="-3.2118725894643686E-2"/>
                  <c:y val="-0.1005357849821849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61-4B09-9227-0970C02B01BA}"/>
                </c:ext>
              </c:extLst>
            </c:dLbl>
            <c:dLbl>
              <c:idx val="1"/>
              <c:layout>
                <c:manualLayout>
                  <c:x val="9.7420277122318433E-2"/>
                  <c:y val="-3.800055719292071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61-4B09-9227-0970C02B01BA}"/>
                </c:ext>
              </c:extLst>
            </c:dLbl>
            <c:dLbl>
              <c:idx val="2"/>
              <c:layout>
                <c:manualLayout>
                  <c:x val="3.7804394733365651E-2"/>
                  <c:y val="7.472836845115031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61-4B09-9227-0970C02B01BA}"/>
                </c:ext>
              </c:extLst>
            </c:dLbl>
            <c:dLbl>
              <c:idx val="3"/>
              <c:layout>
                <c:manualLayout>
                  <c:x val="5.7058338318642404E-2"/>
                  <c:y val="-1.512104283054003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61-4B09-9227-0970C02B01BA}"/>
                </c:ext>
              </c:extLst>
            </c:dLbl>
            <c:spPr>
              <a:noFill/>
              <a:ln>
                <a:noFill/>
              </a:ln>
              <a:effectLst/>
            </c:spPr>
            <c:txPr>
              <a:bodyPr/>
              <a:lstStyle/>
              <a:p>
                <a:pPr>
                  <a:defRPr sz="900"/>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'Pipeline Demographics-Active'!$A$41:$A$44</c:f>
              <c:strCache>
                <c:ptCount val="4"/>
                <c:pt idx="0">
                  <c:v>New Construction</c:v>
                </c:pt>
                <c:pt idx="1">
                  <c:v>Acquisition/ Rehab</c:v>
                </c:pt>
                <c:pt idx="2">
                  <c:v>Adaptive/ Rehab</c:v>
                </c:pt>
                <c:pt idx="3">
                  <c:v>Refinance/ Rehab</c:v>
                </c:pt>
              </c:strCache>
            </c:strRef>
          </c:cat>
          <c:val>
            <c:numRef>
              <c:f>'Pipeline Demographics-Active'!$C$41:$C$44</c:f>
              <c:numCache>
                <c:formatCode>0.0%</c:formatCode>
                <c:ptCount val="4"/>
                <c:pt idx="0">
                  <c:v>0.58333333333333337</c:v>
                </c:pt>
                <c:pt idx="1">
                  <c:v>8.3333333333333329E-2</c:v>
                </c:pt>
                <c:pt idx="2">
                  <c:v>0.20833333333333334</c:v>
                </c:pt>
                <c:pt idx="3">
                  <c:v>0.125</c:v>
                </c:pt>
              </c:numCache>
            </c:numRef>
          </c:val>
          <c:extLst>
            <c:ext xmlns:c16="http://schemas.microsoft.com/office/drawing/2014/chart" uri="{C3380CC4-5D6E-409C-BE32-E72D297353CC}">
              <c16:uniqueId val="{00000004-F961-4B09-9227-0970C02B01BA}"/>
            </c:ext>
          </c:extLst>
        </c:ser>
        <c:dLbls>
          <c:showLegendKey val="0"/>
          <c:showVal val="0"/>
          <c:showCatName val="0"/>
          <c:showSerName val="0"/>
          <c:showPercent val="0"/>
          <c:showBubbleSize val="0"/>
          <c:showLeaderLines val="1"/>
        </c:dLbls>
      </c:pie3DChart>
    </c:plotArea>
    <c:plotVisOnly val="1"/>
    <c:dispBlanksAs val="gap"/>
    <c:showDLblsOverMax val="0"/>
  </c:chart>
  <c:spPr>
    <a:ln w="31750">
      <a:solidFill>
        <a:schemeClr val="tx2">
          <a:lumMod val="75000"/>
        </a:schemeClr>
      </a:solidFill>
    </a:ln>
    <a:effectLst>
      <a:outerShdw blurRad="50800" dist="38100" dir="2700000" algn="tl" rotWithShape="0">
        <a:prstClr val="black">
          <a:alpha val="40000"/>
        </a:prstClr>
      </a:outerShdw>
    </a:effectLst>
  </c:spPr>
  <c:printSettings>
    <c:headerFooter/>
    <c:pageMargins b="0.75000000000000855" l="0.70000000000000062" r="0.70000000000000062" t="0.750000000000008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40"/>
      <c:rotY val="0"/>
      <c:rAngAx val="0"/>
    </c:view3D>
    <c:floor>
      <c:thickness val="0"/>
    </c:floor>
    <c:sideWall>
      <c:thickness val="0"/>
    </c:sideWall>
    <c:backWall>
      <c:thickness val="0"/>
    </c:backWall>
    <c:plotArea>
      <c:layout>
        <c:manualLayout>
          <c:layoutTarget val="inner"/>
          <c:xMode val="edge"/>
          <c:yMode val="edge"/>
          <c:x val="9.7172924306447514E-2"/>
          <c:y val="0.19647113488804341"/>
          <c:w val="0.80565415138710494"/>
          <c:h val="0.73464943676300587"/>
        </c:manualLayout>
      </c:layout>
      <c:pie3DChart>
        <c:varyColors val="1"/>
        <c:ser>
          <c:idx val="0"/>
          <c:order val="0"/>
          <c:dLbls>
            <c:dLbl>
              <c:idx val="0"/>
              <c:layout>
                <c:manualLayout>
                  <c:x val="0.12645139054587926"/>
                  <c:y val="2.7869243617275347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1D-469A-B487-E5232D53FBF3}"/>
                </c:ext>
              </c:extLst>
            </c:dLbl>
            <c:dLbl>
              <c:idx val="1"/>
              <c:layout>
                <c:manualLayout>
                  <c:x val="7.7437100665447123E-2"/>
                  <c:y val="1.373218299865627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1D-469A-B487-E5232D53FBF3}"/>
                </c:ext>
              </c:extLst>
            </c:dLbl>
            <c:dLbl>
              <c:idx val="2"/>
              <c:layout>
                <c:manualLayout>
                  <c:x val="-0.12458681301200999"/>
                  <c:y val="-3.485915935149254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1D-469A-B487-E5232D53FBF3}"/>
                </c:ext>
              </c:extLst>
            </c:dLbl>
            <c:dLbl>
              <c:idx val="3"/>
              <c:layout>
                <c:manualLayout>
                  <c:x val="-1.4651369336408707E-2"/>
                  <c:y val="-0.1078908437880671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1D-469A-B487-E5232D53FBF3}"/>
                </c:ext>
              </c:extLst>
            </c:dLbl>
            <c:dLbl>
              <c:idx val="4"/>
              <c:delete val="1"/>
              <c:extLst>
                <c:ext xmlns:c15="http://schemas.microsoft.com/office/drawing/2012/chart" uri="{CE6537A1-D6FC-4f65-9D91-7224C49458BB}"/>
                <c:ext xmlns:c16="http://schemas.microsoft.com/office/drawing/2014/chart" uri="{C3380CC4-5D6E-409C-BE32-E72D297353CC}">
                  <c16:uniqueId val="{00000004-5A1D-469A-B487-E5232D53FBF3}"/>
                </c:ext>
              </c:extLst>
            </c:dLbl>
            <c:dLbl>
              <c:idx val="5"/>
              <c:layout>
                <c:manualLayout>
                  <c:x val="-8.3650414910257806E-2"/>
                  <c:y val="-1.3005312135026179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1D-469A-B487-E5232D53FBF3}"/>
                </c:ext>
              </c:extLst>
            </c:dLbl>
            <c:spPr>
              <a:noFill/>
              <a:ln>
                <a:noFill/>
              </a:ln>
              <a:effectLst/>
            </c:spPr>
            <c:txPr>
              <a:bodyPr/>
              <a:lstStyle/>
              <a:p>
                <a:pPr>
                  <a:defRPr sz="900"/>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'Pipeline Demographics-Active'!$A$59:$A$64</c:f>
              <c:strCache>
                <c:ptCount val="6"/>
                <c:pt idx="0">
                  <c:v>Prospect</c:v>
                </c:pt>
                <c:pt idx="1">
                  <c:v>Feasibility</c:v>
                </c:pt>
                <c:pt idx="2">
                  <c:v>Development</c:v>
                </c:pt>
                <c:pt idx="3">
                  <c:v>Construction</c:v>
                </c:pt>
                <c:pt idx="4">
                  <c:v>Operations - Lease Up</c:v>
                </c:pt>
                <c:pt idx="5">
                  <c:v>Operations - Close Out</c:v>
                </c:pt>
              </c:strCache>
            </c:strRef>
          </c:cat>
          <c:val>
            <c:numRef>
              <c:f>'Pipeline Demographics-Active'!$C$59:$C$64</c:f>
              <c:numCache>
                <c:formatCode>0.0%</c:formatCode>
                <c:ptCount val="6"/>
                <c:pt idx="0">
                  <c:v>0.25</c:v>
                </c:pt>
                <c:pt idx="1">
                  <c:v>0.25</c:v>
                </c:pt>
                <c:pt idx="2">
                  <c:v>0.16666666666666666</c:v>
                </c:pt>
                <c:pt idx="3">
                  <c:v>8.3333333333333329E-2</c:v>
                </c:pt>
                <c:pt idx="4">
                  <c:v>4.1666666666666664E-2</c:v>
                </c:pt>
                <c:pt idx="5">
                  <c:v>0.20833333333333334</c:v>
                </c:pt>
              </c:numCache>
            </c:numRef>
          </c:val>
          <c:extLst>
            <c:ext xmlns:c16="http://schemas.microsoft.com/office/drawing/2014/chart" uri="{C3380CC4-5D6E-409C-BE32-E72D297353CC}">
              <c16:uniqueId val="{00000006-5A1D-469A-B487-E5232D53FBF3}"/>
            </c:ext>
          </c:extLst>
        </c:ser>
        <c:dLbls>
          <c:showLegendKey val="0"/>
          <c:showVal val="0"/>
          <c:showCatName val="0"/>
          <c:showSerName val="0"/>
          <c:showPercent val="0"/>
          <c:showBubbleSize val="0"/>
          <c:showLeaderLines val="1"/>
        </c:dLbls>
      </c:pie3DChart>
    </c:plotArea>
    <c:plotVisOnly val="1"/>
    <c:dispBlanksAs val="gap"/>
    <c:showDLblsOverMax val="0"/>
  </c:chart>
  <c:spPr>
    <a:ln w="31750">
      <a:solidFill>
        <a:schemeClr val="tx2">
          <a:lumMod val="75000"/>
        </a:schemeClr>
      </a:solidFill>
    </a:ln>
    <a:effectLst>
      <a:outerShdw blurRad="50800" dist="38100" dir="2700000" algn="tl" rotWithShape="0">
        <a:prstClr val="black">
          <a:alpha val="40000"/>
        </a:prstClr>
      </a:outerShdw>
    </a:effectLst>
  </c:spPr>
  <c:printSettings>
    <c:headerFooter/>
    <c:pageMargins b="0.75000000000000855" l="0.70000000000000062" r="0.70000000000000062" t="0.750000000000008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40"/>
      <c:rotY val="120"/>
      <c:rAngAx val="0"/>
    </c:view3D>
    <c:floor>
      <c:thickness val="0"/>
    </c:floor>
    <c:sideWall>
      <c:thickness val="0"/>
    </c:sideWall>
    <c:backWall>
      <c:thickness val="0"/>
    </c:backWall>
    <c:plotArea>
      <c:layout>
        <c:manualLayout>
          <c:layoutTarget val="inner"/>
          <c:xMode val="edge"/>
          <c:yMode val="edge"/>
          <c:x val="5.3159093899542334E-2"/>
          <c:y val="0.11987389844425871"/>
          <c:w val="0.89719984210417325"/>
          <c:h val="0.8130869954104899"/>
        </c:manualLayout>
      </c:layout>
      <c:pie3DChart>
        <c:varyColors val="1"/>
        <c:ser>
          <c:idx val="1"/>
          <c:order val="0"/>
          <c:dLbls>
            <c:dLbl>
              <c:idx val="0"/>
              <c:layout>
                <c:manualLayout>
                  <c:x val="2.4330916419088792E-2"/>
                  <c:y val="3.329550286661099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24-4562-9BB4-EA65A16463FE}"/>
                </c:ext>
              </c:extLst>
            </c:dLbl>
            <c:dLbl>
              <c:idx val="1"/>
              <c:layout>
                <c:manualLayout>
                  <c:x val="-9.0158519103317875E-2"/>
                  <c:y val="-4.583703573366182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24-4562-9BB4-EA65A16463FE}"/>
                </c:ext>
              </c:extLst>
            </c:dLbl>
            <c:dLbl>
              <c:idx val="2"/>
              <c:layout>
                <c:manualLayout>
                  <c:x val="-7.871771965179844E-2"/>
                  <c:y val="8.780891215413716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24-4562-9BB4-EA65A16463FE}"/>
                </c:ext>
              </c:extLst>
            </c:dLbl>
            <c:dLbl>
              <c:idx val="3"/>
              <c:layout>
                <c:manualLayout>
                  <c:x val="5.7137514802734338E-2"/>
                  <c:y val="-3.054942154577047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24-4562-9BB4-EA65A16463FE}"/>
                </c:ext>
              </c:extLst>
            </c:dLbl>
            <c:dLbl>
              <c:idx val="4"/>
              <c:layout>
                <c:manualLayout>
                  <c:x val="9.5106614311733464E-2"/>
                  <c:y val="-1.2985527647033049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24-4562-9BB4-EA65A16463FE}"/>
                </c:ext>
              </c:extLst>
            </c:dLbl>
            <c:dLbl>
              <c:idx val="5"/>
              <c:delete val="1"/>
              <c:extLst>
                <c:ext xmlns:c15="http://schemas.microsoft.com/office/drawing/2012/chart" uri="{CE6537A1-D6FC-4f65-9D91-7224C49458BB}"/>
                <c:ext xmlns:c16="http://schemas.microsoft.com/office/drawing/2014/chart" uri="{C3380CC4-5D6E-409C-BE32-E72D297353CC}">
                  <c16:uniqueId val="{00000005-4C24-4562-9BB4-EA65A16463FE}"/>
                </c:ext>
              </c:extLst>
            </c:dLbl>
            <c:spPr>
              <a:noFill/>
              <a:ln>
                <a:noFill/>
              </a:ln>
              <a:effectLst/>
            </c:spPr>
            <c:txPr>
              <a:bodyPr/>
              <a:lstStyle/>
              <a:p>
                <a:pPr>
                  <a:defRPr sz="900"/>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numRef>
              <c:f>'Pipeline Demographics-Active'!$A$73:$A$78</c:f>
              <c:numCache>
                <c:formatCode>General</c:formatCode>
                <c:ptCount val="6"/>
                <c:pt idx="0">
                  <c:v>2011</c:v>
                </c:pt>
                <c:pt idx="1">
                  <c:v>2012</c:v>
                </c:pt>
                <c:pt idx="2">
                  <c:v>2013</c:v>
                </c:pt>
                <c:pt idx="3">
                  <c:v>2014</c:v>
                </c:pt>
                <c:pt idx="4">
                  <c:v>2015</c:v>
                </c:pt>
                <c:pt idx="5">
                  <c:v>2016</c:v>
                </c:pt>
              </c:numCache>
            </c:numRef>
          </c:cat>
          <c:val>
            <c:numRef>
              <c:f>'Pipeline Demographics-Active'!$C$73:$C$78</c:f>
              <c:numCache>
                <c:formatCode>0.0%</c:formatCode>
                <c:ptCount val="6"/>
                <c:pt idx="0">
                  <c:v>0.1111111111111111</c:v>
                </c:pt>
                <c:pt idx="1">
                  <c:v>0.22222222222222221</c:v>
                </c:pt>
                <c:pt idx="2">
                  <c:v>0.3888888888888889</c:v>
                </c:pt>
                <c:pt idx="3">
                  <c:v>0.16666666666666666</c:v>
                </c:pt>
                <c:pt idx="4">
                  <c:v>0.1111111111111111</c:v>
                </c:pt>
                <c:pt idx="5">
                  <c:v>0</c:v>
                </c:pt>
              </c:numCache>
            </c:numRef>
          </c:val>
          <c:extLst>
            <c:ext xmlns:c16="http://schemas.microsoft.com/office/drawing/2014/chart" uri="{C3380CC4-5D6E-409C-BE32-E72D297353CC}">
              <c16:uniqueId val="{00000006-4C24-4562-9BB4-EA65A16463FE}"/>
            </c:ext>
          </c:extLst>
        </c:ser>
        <c:dLbls>
          <c:showLegendKey val="0"/>
          <c:showVal val="0"/>
          <c:showCatName val="0"/>
          <c:showSerName val="0"/>
          <c:showPercent val="0"/>
          <c:showBubbleSize val="0"/>
          <c:showLeaderLines val="1"/>
        </c:dLbls>
      </c:pie3DChart>
    </c:plotArea>
    <c:plotVisOnly val="1"/>
    <c:dispBlanksAs val="gap"/>
    <c:showDLblsOverMax val="0"/>
  </c:chart>
  <c:spPr>
    <a:ln w="31750">
      <a:solidFill>
        <a:schemeClr val="tx2">
          <a:lumMod val="75000"/>
        </a:schemeClr>
      </a:solidFill>
    </a:ln>
    <a:effectLst>
      <a:outerShdw blurRad="50800" dist="38100" dir="2700000" algn="tl" rotWithShape="0">
        <a:prstClr val="black">
          <a:alpha val="40000"/>
        </a:prstClr>
      </a:outerShdw>
    </a:effectLst>
  </c:spPr>
  <c:printSettings>
    <c:headerFooter/>
    <c:pageMargins b="0.75000000000000877" l="0.70000000000000062" r="0.70000000000000062" t="0.750000000000008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40"/>
      <c:rotY val="130"/>
      <c:rAngAx val="0"/>
    </c:view3D>
    <c:floor>
      <c:thickness val="0"/>
    </c:floor>
    <c:sideWall>
      <c:thickness val="0"/>
    </c:sideWall>
    <c:backWall>
      <c:thickness val="0"/>
    </c:backWall>
    <c:plotArea>
      <c:layout>
        <c:manualLayout>
          <c:layoutTarget val="inner"/>
          <c:xMode val="edge"/>
          <c:yMode val="edge"/>
          <c:x val="0.10069441691425612"/>
          <c:y val="0.21583307086614417"/>
          <c:w val="0.79861116617148864"/>
          <c:h val="0.72833385826771668"/>
        </c:manualLayout>
      </c:layout>
      <c:pie3DChart>
        <c:varyColors val="1"/>
        <c:ser>
          <c:idx val="0"/>
          <c:order val="0"/>
          <c:dLbls>
            <c:dLbl>
              <c:idx val="0"/>
              <c:layout>
                <c:manualLayout>
                  <c:x val="0.14319417269421464"/>
                  <c:y val="-4.84933796683235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9D6F-477F-A3F4-8DA9F5AE9106}"/>
                </c:ext>
              </c:extLst>
            </c:dLbl>
            <c:dLbl>
              <c:idx val="1"/>
              <c:layout>
                <c:manualLayout>
                  <c:x val="-9.4195074859177025E-2"/>
                  <c:y val="-6.020205574861801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9D6F-477F-A3F4-8DA9F5AE9106}"/>
                </c:ext>
              </c:extLst>
            </c:dLbl>
            <c:dLbl>
              <c:idx val="2"/>
              <c:layout>
                <c:manualLayout>
                  <c:x val="-0.16879929731328291"/>
                  <c:y val="5.745480139004972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9D6F-477F-A3F4-8DA9F5AE9106}"/>
                </c:ext>
              </c:extLst>
            </c:dLbl>
            <c:dLbl>
              <c:idx val="3"/>
              <c:layout>
                <c:manualLayout>
                  <c:x val="6.4341080396686304E-2"/>
                  <c:y val="-0.2385378084722680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9D6F-477F-A3F4-8DA9F5AE9106}"/>
                </c:ext>
              </c:extLst>
            </c:dLbl>
            <c:spPr>
              <a:noFill/>
              <a:ln>
                <a:noFill/>
              </a:ln>
              <a:effectLst/>
            </c:spPr>
            <c:txPr>
              <a:bodyPr/>
              <a:lstStyle/>
              <a:p>
                <a:pPr>
                  <a:defRPr sz="1000"/>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'Pipeline Demographics-Inactive'!$A$5:$A$8</c:f>
              <c:strCache>
                <c:ptCount val="4"/>
                <c:pt idx="0">
                  <c:v>Special Needs (PSH)</c:v>
                </c:pt>
                <c:pt idx="1">
                  <c:v>Senior </c:v>
                </c:pt>
                <c:pt idx="2">
                  <c:v>Family </c:v>
                </c:pt>
                <c:pt idx="3">
                  <c:v>For Sale</c:v>
                </c:pt>
              </c:strCache>
            </c:strRef>
          </c:cat>
          <c:val>
            <c:numRef>
              <c:f>'Pipeline Demographics-Inactive'!$C$5:$C$8</c:f>
              <c:numCache>
                <c:formatCode>0.0%</c:formatCode>
                <c:ptCount val="4"/>
                <c:pt idx="0">
                  <c:v>0.11764705882352941</c:v>
                </c:pt>
                <c:pt idx="1">
                  <c:v>0.23529411764705882</c:v>
                </c:pt>
                <c:pt idx="2">
                  <c:v>0.41176470588235292</c:v>
                </c:pt>
                <c:pt idx="3">
                  <c:v>0.23529411764705882</c:v>
                </c:pt>
              </c:numCache>
            </c:numRef>
          </c:val>
          <c:extLst>
            <c:ext xmlns:c16="http://schemas.microsoft.com/office/drawing/2014/chart" uri="{C3380CC4-5D6E-409C-BE32-E72D297353CC}">
              <c16:uniqueId val="{00000004-9D6F-477F-A3F4-8DA9F5AE9106}"/>
            </c:ext>
          </c:extLst>
        </c:ser>
        <c:dLbls>
          <c:showLegendKey val="0"/>
          <c:showVal val="0"/>
          <c:showCatName val="0"/>
          <c:showSerName val="0"/>
          <c:showPercent val="0"/>
          <c:showBubbleSize val="0"/>
          <c:showLeaderLines val="1"/>
        </c:dLbls>
      </c:pie3DChart>
    </c:plotArea>
    <c:plotVisOnly val="1"/>
    <c:dispBlanksAs val="gap"/>
    <c:showDLblsOverMax val="0"/>
  </c:chart>
  <c:spPr>
    <a:ln w="31750">
      <a:solidFill>
        <a:schemeClr val="tx2">
          <a:lumMod val="75000"/>
        </a:schemeClr>
      </a:solidFill>
    </a:ln>
    <a:effectLst>
      <a:outerShdw blurRad="50800" dist="38100" dir="2700000" algn="tl" rotWithShape="0">
        <a:prstClr val="black">
          <a:alpha val="40000"/>
        </a:prstClr>
      </a:outerShdw>
    </a:effectLst>
  </c:spPr>
  <c:printSettings>
    <c:headerFooter/>
    <c:pageMargins b="0.75000000000000855" l="0.70000000000000062" r="0.70000000000000062" t="0.750000000000008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40"/>
      <c:rotY val="140"/>
      <c:rAngAx val="0"/>
    </c:view3D>
    <c:floor>
      <c:thickness val="0"/>
    </c:floor>
    <c:sideWall>
      <c:thickness val="0"/>
    </c:sideWall>
    <c:backWall>
      <c:thickness val="0"/>
    </c:backWall>
    <c:plotArea>
      <c:layout>
        <c:manualLayout>
          <c:layoutTarget val="inner"/>
          <c:xMode val="edge"/>
          <c:yMode val="edge"/>
          <c:x val="5.8611522036452965E-2"/>
          <c:y val="0.12231602197266329"/>
          <c:w val="0.89888974034311364"/>
          <c:h val="0.81934225434935393"/>
        </c:manualLayout>
      </c:layout>
      <c:pie3DChart>
        <c:varyColors val="1"/>
        <c:ser>
          <c:idx val="0"/>
          <c:order val="0"/>
          <c:dLbls>
            <c:dLbl>
              <c:idx val="0"/>
              <c:layout>
                <c:manualLayout>
                  <c:x val="-4.2125098643227415E-2"/>
                  <c:y val="-4.5035354187283804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019-42B7-862B-7D71B0E54BC9}"/>
                </c:ext>
              </c:extLst>
            </c:dLbl>
            <c:dLbl>
              <c:idx val="1"/>
              <c:layout>
                <c:manualLayout>
                  <c:x val="-1.5402616614691306E-2"/>
                  <c:y val="0.1061130473444917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6019-42B7-862B-7D71B0E54BC9}"/>
                </c:ext>
              </c:extLst>
            </c:dLbl>
            <c:dLbl>
              <c:idx val="2"/>
              <c:delete val="1"/>
              <c:extLst>
                <c:ext xmlns:c15="http://schemas.microsoft.com/office/drawing/2012/chart" uri="{CE6537A1-D6FC-4f65-9D91-7224C49458BB}"/>
                <c:ext xmlns:c16="http://schemas.microsoft.com/office/drawing/2014/chart" uri="{C3380CC4-5D6E-409C-BE32-E72D297353CC}">
                  <c16:uniqueId val="{00000002-6019-42B7-862B-7D71B0E54BC9}"/>
                </c:ext>
              </c:extLst>
            </c:dLbl>
            <c:dLbl>
              <c:idx val="3"/>
              <c:delete val="1"/>
              <c:extLst>
                <c:ext xmlns:c15="http://schemas.microsoft.com/office/drawing/2012/chart" uri="{CE6537A1-D6FC-4f65-9D91-7224C49458BB}"/>
                <c:ext xmlns:c16="http://schemas.microsoft.com/office/drawing/2014/chart" uri="{C3380CC4-5D6E-409C-BE32-E72D297353CC}">
                  <c16:uniqueId val="{00000003-6019-42B7-862B-7D71B0E54BC9}"/>
                </c:ext>
              </c:extLst>
            </c:dLbl>
            <c:spPr>
              <a:noFill/>
              <a:ln>
                <a:noFill/>
              </a:ln>
              <a:effectLst/>
            </c:spPr>
            <c:txPr>
              <a:bodyPr/>
              <a:lstStyle/>
              <a:p>
                <a:pPr>
                  <a:defRPr sz="800"/>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'Pipeline Demographics-Inactive'!$A$36:$A$39</c:f>
              <c:strCache>
                <c:ptCount val="4"/>
                <c:pt idx="0">
                  <c:v>New Construction</c:v>
                </c:pt>
                <c:pt idx="1">
                  <c:v>Acquisition/ Rehab</c:v>
                </c:pt>
                <c:pt idx="2">
                  <c:v>Adaptive/ Rehab</c:v>
                </c:pt>
                <c:pt idx="3">
                  <c:v>Refinance/ Rehab</c:v>
                </c:pt>
              </c:strCache>
            </c:strRef>
          </c:cat>
          <c:val>
            <c:numRef>
              <c:f>'Pipeline Demographics-Inactive'!$C$36:$C$39</c:f>
              <c:numCache>
                <c:formatCode>0.0%</c:formatCode>
                <c:ptCount val="4"/>
                <c:pt idx="0">
                  <c:v>0.88235294117647056</c:v>
                </c:pt>
                <c:pt idx="1">
                  <c:v>0.11764705882352941</c:v>
                </c:pt>
                <c:pt idx="2">
                  <c:v>0</c:v>
                </c:pt>
                <c:pt idx="3">
                  <c:v>0</c:v>
                </c:pt>
              </c:numCache>
            </c:numRef>
          </c:val>
          <c:extLst>
            <c:ext xmlns:c16="http://schemas.microsoft.com/office/drawing/2014/chart" uri="{C3380CC4-5D6E-409C-BE32-E72D297353CC}">
              <c16:uniqueId val="{00000004-6019-42B7-862B-7D71B0E54BC9}"/>
            </c:ext>
          </c:extLst>
        </c:ser>
        <c:dLbls>
          <c:showLegendKey val="0"/>
          <c:showVal val="0"/>
          <c:showCatName val="0"/>
          <c:showSerName val="0"/>
          <c:showPercent val="0"/>
          <c:showBubbleSize val="0"/>
          <c:showLeaderLines val="1"/>
        </c:dLbls>
      </c:pie3DChart>
    </c:plotArea>
    <c:plotVisOnly val="1"/>
    <c:dispBlanksAs val="gap"/>
    <c:showDLblsOverMax val="0"/>
  </c:chart>
  <c:spPr>
    <a:ln w="31750">
      <a:solidFill>
        <a:schemeClr val="tx2">
          <a:lumMod val="75000"/>
        </a:schemeClr>
      </a:solidFill>
    </a:ln>
    <a:effectLst>
      <a:outerShdw blurRad="50800" dist="38100" dir="2700000" algn="tl" rotWithShape="0">
        <a:prstClr val="black">
          <a:alpha val="40000"/>
        </a:prstClr>
      </a:outerShdw>
    </a:effectLst>
  </c:spPr>
  <c:printSettings>
    <c:headerFooter/>
    <c:pageMargins b="0.75000000000000877" l="0.70000000000000062" r="0.70000000000000062" t="0.750000000000008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40"/>
      <c:rotY val="110"/>
      <c:rAngAx val="0"/>
    </c:view3D>
    <c:floor>
      <c:thickness val="0"/>
    </c:floor>
    <c:sideWall>
      <c:thickness val="0"/>
    </c:sideWall>
    <c:backWall>
      <c:thickness val="0"/>
    </c:backWall>
    <c:plotArea>
      <c:layout>
        <c:manualLayout>
          <c:layoutTarget val="inner"/>
          <c:xMode val="edge"/>
          <c:yMode val="edge"/>
          <c:x val="0.10069441691425612"/>
          <c:y val="0.21583307086614426"/>
          <c:w val="0.79861116617148864"/>
          <c:h val="0.72833385826771668"/>
        </c:manualLayout>
      </c:layout>
      <c:pie3DChart>
        <c:varyColors val="1"/>
        <c:ser>
          <c:idx val="0"/>
          <c:order val="0"/>
          <c:dLbls>
            <c:dLbl>
              <c:idx val="0"/>
              <c:layout>
                <c:manualLayout>
                  <c:x val="-0.15563589358161473"/>
                  <c:y val="-6.339037229284888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1EF6-4CB4-9A90-961A29B68939}"/>
                </c:ext>
              </c:extLst>
            </c:dLbl>
            <c:dLbl>
              <c:idx val="1"/>
              <c:layout>
                <c:manualLayout>
                  <c:x val="-9.3770206208933143E-2"/>
                  <c:y val="2.978753354154754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1EF6-4CB4-9A90-961A29B68939}"/>
                </c:ext>
              </c:extLst>
            </c:dLbl>
            <c:dLbl>
              <c:idx val="2"/>
              <c:layout>
                <c:manualLayout>
                  <c:x val="0.30346488315466891"/>
                  <c:y val="0.1021475388202173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1EF6-4CB4-9A90-961A29B68939}"/>
                </c:ext>
              </c:extLst>
            </c:dLbl>
            <c:dLbl>
              <c:idx val="3"/>
              <c:layout>
                <c:manualLayout>
                  <c:x val="3.6563310213443688E-2"/>
                  <c:y val="0.2903262511180578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1EF6-4CB4-9A90-961A29B68939}"/>
                </c:ext>
              </c:extLst>
            </c:dLbl>
            <c:spPr>
              <a:noFill/>
              <a:ln>
                <a:noFill/>
              </a:ln>
              <a:effectLst/>
            </c:spPr>
            <c:txPr>
              <a:bodyPr/>
              <a:lstStyle/>
              <a:p>
                <a:pPr>
                  <a:defRPr sz="900"/>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'Pipeline Demographics-Inactive'!$A$17:$A$27</c:f>
              <c:strCache>
                <c:ptCount val="4"/>
                <c:pt idx="0">
                  <c:v>Chicago</c:v>
                </c:pt>
                <c:pt idx="1">
                  <c:v>Milwaukee</c:v>
                </c:pt>
                <c:pt idx="2">
                  <c:v>Collar Counties</c:v>
                </c:pt>
                <c:pt idx="3">
                  <c:v>Downstate/ Other States</c:v>
                </c:pt>
              </c:strCache>
            </c:strRef>
          </c:cat>
          <c:val>
            <c:numRef>
              <c:f>'Pipeline Demographics-Inactive'!$C$17:$C$27</c:f>
              <c:numCache>
                <c:formatCode>0.0%</c:formatCode>
                <c:ptCount val="4"/>
                <c:pt idx="0">
                  <c:v>0.58823529411764708</c:v>
                </c:pt>
                <c:pt idx="1">
                  <c:v>0</c:v>
                </c:pt>
                <c:pt idx="2">
                  <c:v>0.23529411764705882</c:v>
                </c:pt>
                <c:pt idx="3">
                  <c:v>0.1764705882352941</c:v>
                </c:pt>
              </c:numCache>
            </c:numRef>
          </c:val>
          <c:extLst>
            <c:ext xmlns:c16="http://schemas.microsoft.com/office/drawing/2014/chart" uri="{C3380CC4-5D6E-409C-BE32-E72D297353CC}">
              <c16:uniqueId val="{00000004-1EF6-4CB4-9A90-961A29B68939}"/>
            </c:ext>
          </c:extLst>
        </c:ser>
        <c:dLbls>
          <c:showLegendKey val="0"/>
          <c:showVal val="0"/>
          <c:showCatName val="0"/>
          <c:showSerName val="0"/>
          <c:showPercent val="0"/>
          <c:showBubbleSize val="0"/>
          <c:showLeaderLines val="1"/>
        </c:dLbls>
      </c:pie3DChart>
    </c:plotArea>
    <c:plotVisOnly val="1"/>
    <c:dispBlanksAs val="gap"/>
    <c:showDLblsOverMax val="0"/>
  </c:chart>
  <c:spPr>
    <a:ln w="31750">
      <a:solidFill>
        <a:schemeClr val="tx2">
          <a:lumMod val="75000"/>
        </a:schemeClr>
      </a:solidFill>
    </a:ln>
    <a:effectLst>
      <a:outerShdw blurRad="50800" dist="38100" dir="2700000" algn="tl" rotWithShape="0">
        <a:prstClr val="black">
          <a:alpha val="40000"/>
        </a:prstClr>
      </a:outerShdw>
    </a:effectLst>
  </c:spPr>
  <c:printSettings>
    <c:headerFooter/>
    <c:pageMargins b="0.75000000000000877" l="0.70000000000000062" r="0.70000000000000062" t="0.750000000000008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40"/>
      <c:rotY val="30"/>
      <c:rAngAx val="0"/>
    </c:view3D>
    <c:floor>
      <c:thickness val="0"/>
    </c:floor>
    <c:sideWall>
      <c:thickness val="0"/>
    </c:sideWall>
    <c:backWall>
      <c:thickness val="0"/>
    </c:backWall>
    <c:plotArea>
      <c:layout>
        <c:manualLayout>
          <c:layoutTarget val="inner"/>
          <c:xMode val="edge"/>
          <c:yMode val="edge"/>
          <c:x val="7.8813205578218429E-2"/>
          <c:y val="0.10774407297448524"/>
          <c:w val="0.84638965310059489"/>
          <c:h val="0.77562640735482236"/>
        </c:manualLayout>
      </c:layout>
      <c:pie3DChart>
        <c:varyColors val="1"/>
        <c:ser>
          <c:idx val="0"/>
          <c:order val="0"/>
          <c:dLbls>
            <c:dLbl>
              <c:idx val="0"/>
              <c:layout>
                <c:manualLayout>
                  <c:x val="2.7872061897970212E-2"/>
                  <c:y val="-3.364743341508535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1B6-49E8-B703-97B167CE72C6}"/>
                </c:ext>
              </c:extLst>
            </c:dLbl>
            <c:dLbl>
              <c:idx val="1"/>
              <c:layout>
                <c:manualLayout>
                  <c:x val="-5.3259608057677654E-2"/>
                  <c:y val="-4.689241713638361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1B6-49E8-B703-97B167CE72C6}"/>
                </c:ext>
              </c:extLst>
            </c:dLbl>
            <c:dLbl>
              <c:idx val="2"/>
              <c:delete val="1"/>
              <c:extLst>
                <c:ext xmlns:c15="http://schemas.microsoft.com/office/drawing/2012/chart" uri="{CE6537A1-D6FC-4f65-9D91-7224C49458BB}"/>
                <c:ext xmlns:c16="http://schemas.microsoft.com/office/drawing/2014/chart" uri="{C3380CC4-5D6E-409C-BE32-E72D297353CC}">
                  <c16:uniqueId val="{00000002-51B6-49E8-B703-97B167CE72C6}"/>
                </c:ext>
              </c:extLst>
            </c:dLbl>
            <c:dLbl>
              <c:idx val="3"/>
              <c:delete val="1"/>
              <c:extLst>
                <c:ext xmlns:c15="http://schemas.microsoft.com/office/drawing/2012/chart" uri="{CE6537A1-D6FC-4f65-9D91-7224C49458BB}"/>
                <c:ext xmlns:c16="http://schemas.microsoft.com/office/drawing/2014/chart" uri="{C3380CC4-5D6E-409C-BE32-E72D297353CC}">
                  <c16:uniqueId val="{00000003-51B6-49E8-B703-97B167CE72C6}"/>
                </c:ext>
              </c:extLst>
            </c:dLbl>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'Pipeline Demographics-Inactive'!$A$50:$A$51</c:f>
              <c:strCache>
                <c:ptCount val="2"/>
                <c:pt idx="0">
                  <c:v>Prospect</c:v>
                </c:pt>
                <c:pt idx="1">
                  <c:v>Feasibility</c:v>
                </c:pt>
              </c:strCache>
            </c:strRef>
          </c:cat>
          <c:val>
            <c:numRef>
              <c:f>'Pipeline Demographics-Inactive'!$C$50:$C$51</c:f>
              <c:numCache>
                <c:formatCode>0.0%</c:formatCode>
                <c:ptCount val="2"/>
                <c:pt idx="0">
                  <c:v>0.17647058823529413</c:v>
                </c:pt>
                <c:pt idx="1">
                  <c:v>0.82352941176470584</c:v>
                </c:pt>
              </c:numCache>
            </c:numRef>
          </c:val>
          <c:extLst>
            <c:ext xmlns:c16="http://schemas.microsoft.com/office/drawing/2014/chart" uri="{C3380CC4-5D6E-409C-BE32-E72D297353CC}">
              <c16:uniqueId val="{00000004-51B6-49E8-B703-97B167CE72C6}"/>
            </c:ext>
          </c:extLst>
        </c:ser>
        <c:dLbls>
          <c:showLegendKey val="0"/>
          <c:showVal val="0"/>
          <c:showCatName val="0"/>
          <c:showSerName val="0"/>
          <c:showPercent val="0"/>
          <c:showBubbleSize val="0"/>
          <c:showLeaderLines val="1"/>
        </c:dLbls>
      </c:pie3DChart>
    </c:plotArea>
    <c:plotVisOnly val="1"/>
    <c:dispBlanksAs val="gap"/>
    <c:showDLblsOverMax val="0"/>
  </c:chart>
  <c:spPr>
    <a:ln w="31750">
      <a:solidFill>
        <a:schemeClr val="tx2">
          <a:lumMod val="75000"/>
        </a:schemeClr>
      </a:solidFill>
    </a:ln>
    <a:effectLst>
      <a:outerShdw blurRad="50800" dist="38100" dir="2700000" algn="tl" rotWithShape="0">
        <a:prstClr val="black">
          <a:alpha val="40000"/>
        </a:prstClr>
      </a:outerShdw>
    </a:effectLst>
  </c:spPr>
  <c:printSettings>
    <c:headerFooter/>
    <c:pageMargins b="0.75000000000000899" l="0.70000000000000062" r="0.70000000000000062" t="0.7500000000000089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1</xdr:col>
      <xdr:colOff>581025</xdr:colOff>
      <xdr:row>9</xdr:row>
      <xdr:rowOff>3174</xdr:rowOff>
    </xdr:from>
    <xdr:to>
      <xdr:col>6</xdr:col>
      <xdr:colOff>184149</xdr:colOff>
      <xdr:row>14</xdr:row>
      <xdr:rowOff>3174</xdr:rowOff>
    </xdr:to>
    <xdr:pic>
      <xdr:nvPicPr>
        <xdr:cNvPr id="4" name="Picture 3">
          <a:extLst>
            <a:ext uri="{FF2B5EF4-FFF2-40B4-BE49-F238E27FC236}">
              <a16:creationId xmlns:a16="http://schemas.microsoft.com/office/drawing/2014/main" id="{648E943D-E9BA-45E9-9949-B763F310A06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 y="1631949"/>
          <a:ext cx="2765424" cy="904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8286749" y="142875"/>
          <a:ext cx="3648075" cy="246697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8286749" y="142875"/>
          <a:ext cx="3648075" cy="246697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8286749" y="142875"/>
          <a:ext cx="3648075" cy="246697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8286749" y="142875"/>
          <a:ext cx="3648075" cy="246697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8286749" y="142875"/>
          <a:ext cx="3648075" cy="246697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8286749" y="142875"/>
          <a:ext cx="3648075" cy="246697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8286749" y="142875"/>
          <a:ext cx="3648075" cy="246697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8286749" y="142875"/>
          <a:ext cx="3648075" cy="246697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1900-000002000000}"/>
            </a:ext>
          </a:extLst>
        </xdr:cNvPr>
        <xdr:cNvSpPr txBox="1"/>
      </xdr:nvSpPr>
      <xdr:spPr>
        <a:xfrm>
          <a:off x="8286749" y="142875"/>
          <a:ext cx="3648075" cy="221932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1A00-000002000000}"/>
            </a:ext>
          </a:extLst>
        </xdr:cNvPr>
        <xdr:cNvSpPr txBox="1"/>
      </xdr:nvSpPr>
      <xdr:spPr>
        <a:xfrm>
          <a:off x="8286749" y="142875"/>
          <a:ext cx="3648075" cy="221932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161924</xdr:colOff>
      <xdr:row>2</xdr:row>
      <xdr:rowOff>66676</xdr:rowOff>
    </xdr:from>
    <xdr:to>
      <xdr:col>12</xdr:col>
      <xdr:colOff>419100</xdr:colOff>
      <xdr:row>10</xdr:row>
      <xdr:rowOff>9526</xdr:rowOff>
    </xdr:to>
    <xdr:graphicFrame macro="">
      <xdr:nvGraphicFramePr>
        <xdr:cNvPr id="7" name="Chart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161924</xdr:colOff>
      <xdr:row>15</xdr:row>
      <xdr:rowOff>0</xdr:rowOff>
    </xdr:from>
    <xdr:to>
      <xdr:col>12</xdr:col>
      <xdr:colOff>438150</xdr:colOff>
      <xdr:row>32</xdr:row>
      <xdr:rowOff>219075</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180975</xdr:colOff>
      <xdr:row>37</xdr:row>
      <xdr:rowOff>200025</xdr:rowOff>
    </xdr:from>
    <xdr:to>
      <xdr:col>12</xdr:col>
      <xdr:colOff>447676</xdr:colOff>
      <xdr:row>46</xdr:row>
      <xdr:rowOff>0</xdr:rowOff>
    </xdr:to>
    <xdr:graphicFrame macro="">
      <xdr:nvGraphicFramePr>
        <xdr:cNvPr id="11" name="Chart 10">
          <a:extLst>
            <a:ext uri="{FF2B5EF4-FFF2-40B4-BE49-F238E27FC236}">
              <a16:creationId xmlns:a16="http://schemas.microsoft.com/office/drawing/2014/main" id="{00000000-0008-0000-03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209550</xdr:colOff>
      <xdr:row>56</xdr:row>
      <xdr:rowOff>85724</xdr:rowOff>
    </xdr:from>
    <xdr:to>
      <xdr:col>12</xdr:col>
      <xdr:colOff>466725</xdr:colOff>
      <xdr:row>64</xdr:row>
      <xdr:rowOff>219074</xdr:rowOff>
    </xdr:to>
    <xdr:graphicFrame macro="">
      <xdr:nvGraphicFramePr>
        <xdr:cNvPr id="13" name="Chart 12">
          <a:extLst>
            <a:ext uri="{FF2B5EF4-FFF2-40B4-BE49-F238E27FC236}">
              <a16:creationId xmlns:a16="http://schemas.microsoft.com/office/drawing/2014/main" id="{00000000-0008-0000-03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228601</xdr:colOff>
      <xdr:row>70</xdr:row>
      <xdr:rowOff>85724</xdr:rowOff>
    </xdr:from>
    <xdr:to>
      <xdr:col>12</xdr:col>
      <xdr:colOff>466726</xdr:colOff>
      <xdr:row>78</xdr:row>
      <xdr:rowOff>95250</xdr:rowOff>
    </xdr:to>
    <xdr:graphicFrame macro="">
      <xdr:nvGraphicFramePr>
        <xdr:cNvPr id="12" name="Chart 11">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1B00-000002000000}"/>
            </a:ext>
          </a:extLst>
        </xdr:cNvPr>
        <xdr:cNvSpPr txBox="1"/>
      </xdr:nvSpPr>
      <xdr:spPr>
        <a:xfrm>
          <a:off x="8286749" y="142875"/>
          <a:ext cx="3648075" cy="221932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8286749" y="142875"/>
          <a:ext cx="3648075" cy="221932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8286749" y="142875"/>
          <a:ext cx="3648075" cy="221932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1E00-000002000000}"/>
            </a:ext>
          </a:extLst>
        </xdr:cNvPr>
        <xdr:cNvSpPr txBox="1"/>
      </xdr:nvSpPr>
      <xdr:spPr>
        <a:xfrm>
          <a:off x="8286749" y="142875"/>
          <a:ext cx="3648075" cy="221932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1F00-000002000000}"/>
            </a:ext>
          </a:extLst>
        </xdr:cNvPr>
        <xdr:cNvSpPr txBox="1"/>
      </xdr:nvSpPr>
      <xdr:spPr>
        <a:xfrm>
          <a:off x="8286749" y="142875"/>
          <a:ext cx="3648075" cy="221932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8286749" y="142875"/>
          <a:ext cx="3648075" cy="221932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2100-000002000000}"/>
            </a:ext>
          </a:extLst>
        </xdr:cNvPr>
        <xdr:cNvSpPr txBox="1"/>
      </xdr:nvSpPr>
      <xdr:spPr>
        <a:xfrm>
          <a:off x="8286749" y="142875"/>
          <a:ext cx="3648075" cy="221932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2200-000002000000}"/>
            </a:ext>
          </a:extLst>
        </xdr:cNvPr>
        <xdr:cNvSpPr txBox="1"/>
      </xdr:nvSpPr>
      <xdr:spPr>
        <a:xfrm>
          <a:off x="7991474" y="142875"/>
          <a:ext cx="3648075" cy="227647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219075</xdr:colOff>
      <xdr:row>1</xdr:row>
      <xdr:rowOff>66675</xdr:rowOff>
    </xdr:from>
    <xdr:to>
      <xdr:col>11</xdr:col>
      <xdr:colOff>619126</xdr:colOff>
      <xdr:row>8</xdr:row>
      <xdr:rowOff>247650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219075</xdr:colOff>
      <xdr:row>33</xdr:row>
      <xdr:rowOff>9525</xdr:rowOff>
    </xdr:from>
    <xdr:to>
      <xdr:col>11</xdr:col>
      <xdr:colOff>600076</xdr:colOff>
      <xdr:row>41</xdr:row>
      <xdr:rowOff>19050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209551</xdr:colOff>
      <xdr:row>14</xdr:row>
      <xdr:rowOff>0</xdr:rowOff>
    </xdr:from>
    <xdr:to>
      <xdr:col>11</xdr:col>
      <xdr:colOff>600076</xdr:colOff>
      <xdr:row>28</xdr:row>
      <xdr:rowOff>28575</xdr:rowOff>
    </xdr:to>
    <xdr:graphicFrame macro="">
      <xdr:nvGraphicFramePr>
        <xdr:cNvPr id="7" name="Chart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200026</xdr:colOff>
      <xdr:row>47</xdr:row>
      <xdr:rowOff>19050</xdr:rowOff>
    </xdr:from>
    <xdr:to>
      <xdr:col>11</xdr:col>
      <xdr:colOff>590551</xdr:colOff>
      <xdr:row>54</xdr:row>
      <xdr:rowOff>114300</xdr:rowOff>
    </xdr:to>
    <xdr:graphicFrame macro="">
      <xdr:nvGraphicFramePr>
        <xdr:cNvPr id="8" name="Chart 7">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200025</xdr:colOff>
      <xdr:row>61</xdr:row>
      <xdr:rowOff>123825</xdr:rowOff>
    </xdr:from>
    <xdr:to>
      <xdr:col>11</xdr:col>
      <xdr:colOff>590551</xdr:colOff>
      <xdr:row>71</xdr:row>
      <xdr:rowOff>47625</xdr:rowOff>
    </xdr:to>
    <xdr:graphicFrame macro="">
      <xdr:nvGraphicFramePr>
        <xdr:cNvPr id="9" name="Chart 8">
          <a:extLst>
            <a:ext uri="{FF2B5EF4-FFF2-40B4-BE49-F238E27FC236}">
              <a16:creationId xmlns:a16="http://schemas.microsoft.com/office/drawing/2014/main" id="{00000000-0008-0000-04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209550</xdr:colOff>
      <xdr:row>2</xdr:row>
      <xdr:rowOff>9525</xdr:rowOff>
    </xdr:from>
    <xdr:to>
      <xdr:col>11</xdr:col>
      <xdr:colOff>571501</xdr:colOff>
      <xdr:row>9</xdr:row>
      <xdr:rowOff>9525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209549</xdr:colOff>
      <xdr:row>32</xdr:row>
      <xdr:rowOff>142875</xdr:rowOff>
    </xdr:from>
    <xdr:to>
      <xdr:col>11</xdr:col>
      <xdr:colOff>581025</xdr:colOff>
      <xdr:row>41</xdr:row>
      <xdr:rowOff>28575</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209551</xdr:colOff>
      <xdr:row>14</xdr:row>
      <xdr:rowOff>9525</xdr:rowOff>
    </xdr:from>
    <xdr:to>
      <xdr:col>11</xdr:col>
      <xdr:colOff>581026</xdr:colOff>
      <xdr:row>28</xdr:row>
      <xdr:rowOff>38100</xdr:rowOff>
    </xdr:to>
    <xdr:graphicFrame macro="">
      <xdr:nvGraphicFramePr>
        <xdr:cNvPr id="5" name="Chart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219076</xdr:colOff>
      <xdr:row>46</xdr:row>
      <xdr:rowOff>9525</xdr:rowOff>
    </xdr:from>
    <xdr:to>
      <xdr:col>11</xdr:col>
      <xdr:colOff>571501</xdr:colOff>
      <xdr:row>54</xdr:row>
      <xdr:rowOff>133350</xdr:rowOff>
    </xdr:to>
    <xdr:graphicFrame macro="">
      <xdr:nvGraphicFramePr>
        <xdr:cNvPr id="6" name="Chart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200025</xdr:colOff>
      <xdr:row>60</xdr:row>
      <xdr:rowOff>190500</xdr:rowOff>
    </xdr:from>
    <xdr:to>
      <xdr:col>11</xdr:col>
      <xdr:colOff>590551</xdr:colOff>
      <xdr:row>70</xdr:row>
      <xdr:rowOff>114300</xdr:rowOff>
    </xdr:to>
    <xdr:graphicFrame macro="">
      <xdr:nvGraphicFramePr>
        <xdr:cNvPr id="7" name="Chart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28575</xdr:rowOff>
    </xdr:from>
    <xdr:to>
      <xdr:col>2</xdr:col>
      <xdr:colOff>1047750</xdr:colOff>
      <xdr:row>21</xdr:row>
      <xdr:rowOff>104775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7625" y="28575"/>
          <a:ext cx="4210050" cy="552450"/>
        </a:xfrm>
        <a:prstGeom prst="rect">
          <a:avLst/>
        </a:prstGeom>
        <a:solidFill>
          <a:schemeClr val="accent6">
            <a:lumMod val="40000"/>
            <a:lumOff val="60000"/>
          </a:schemeClr>
        </a:solidFill>
        <a:ln w="381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0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8286749" y="142875"/>
          <a:ext cx="3648075" cy="227647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8286749" y="142875"/>
          <a:ext cx="3648075" cy="227647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8286749" y="142875"/>
          <a:ext cx="3648075" cy="2276475"/>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342899</xdr:colOff>
      <xdr:row>1</xdr:row>
      <xdr:rowOff>47625</xdr:rowOff>
    </xdr:from>
    <xdr:to>
      <xdr:col>20</xdr:col>
      <xdr:colOff>600074</xdr:colOff>
      <xdr:row>11</xdr:row>
      <xdr:rowOff>95250</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8286749" y="142875"/>
          <a:ext cx="3648075" cy="2724150"/>
        </a:xfrm>
        <a:prstGeom prst="rect">
          <a:avLst/>
        </a:prstGeom>
        <a:solidFill>
          <a:schemeClr val="lt1"/>
        </a:solidFill>
        <a:ln w="381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cells shaded in gray in the </a:t>
          </a:r>
          <a:r>
            <a:rPr lang="en-US" sz="1100" b="1" baseline="0"/>
            <a:t>Demographics, Financing and Current Status</a:t>
          </a:r>
          <a:r>
            <a:rPr lang="en-US" sz="1100" baseline="0"/>
            <a:t> sections are linked to information in the </a:t>
          </a:r>
          <a:r>
            <a:rPr lang="en-US" sz="1100" b="1" baseline="0"/>
            <a:t>"Detail" </a:t>
          </a:r>
          <a:r>
            <a:rPr lang="en-US" sz="1100" baseline="0"/>
            <a:t>worksheet.  if you make any changes to the pipeline information,  please make those changes in the </a:t>
          </a:r>
          <a:r>
            <a:rPr lang="en-US" sz="1100" b="1" baseline="0"/>
            <a:t>"Detail" </a:t>
          </a:r>
          <a:r>
            <a:rPr lang="en-US" sz="1100" baseline="0"/>
            <a:t>worksheet, not on this sheet.</a:t>
          </a:r>
        </a:p>
        <a:p>
          <a:endParaRPr lang="en-US" sz="1100" baseline="0"/>
        </a:p>
        <a:p>
          <a:r>
            <a:rPr lang="en-US" sz="1100" baseline="0"/>
            <a:t>The information in the cells shaded in gray in the </a:t>
          </a:r>
          <a:r>
            <a:rPr lang="en-US" sz="1100" b="1" baseline="0"/>
            <a:t>Summary of Tasks and Deadlines </a:t>
          </a:r>
          <a:r>
            <a:rPr lang="en-US" sz="1100" baseline="0"/>
            <a:t>section, is linked to the </a:t>
          </a:r>
          <a:r>
            <a:rPr lang="en-US" sz="1100" b="1" baseline="0"/>
            <a:t>Detail of Tasks and Upcoming Deadlines</a:t>
          </a:r>
          <a:r>
            <a:rPr lang="en-US" sz="1100" baseline="0"/>
            <a:t> </a:t>
          </a:r>
          <a:r>
            <a:rPr lang="en-US" sz="1100" b="1" baseline="0"/>
            <a:t>found just below on this worksheet</a:t>
          </a:r>
          <a:r>
            <a:rPr lang="en-US" sz="1100" baseline="0"/>
            <a:t>.    You may add additional detail about a task in the cells shaded in white in the </a:t>
          </a:r>
          <a:r>
            <a:rPr lang="en-US" sz="1100" b="1" baseline="0"/>
            <a:t>Summary of Tasks and Deadlines </a:t>
          </a:r>
          <a:r>
            <a:rPr lang="en-US" sz="1100" b="0" baseline="0"/>
            <a:t>section</a:t>
          </a:r>
          <a:r>
            <a:rPr lang="en-US" sz="1100" b="1" baseline="0"/>
            <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windows/TEMP/1001%20Accruals-Utility%20dat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Users/choller/Dropbox/CHoller%20Real%20Estate%20Consulting%20Services/Useful%20Business%20Templates/Development%20Pipeline%20Templates/MHL%20Active%20Pipeline%20Report%20(January%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mercynet/supportgroups/finance/corpbudg/2012%20Corporate%20Budgets/2012%20MHL%206124%20Multifamily%20v0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supportgroups/finance/corpbudg/2012%20Corporate%20Budgets/2012%20MHL%206124%20Multifamily%20v0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EXCEL/DAV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Accounting/Property%20Accounting_SSC/Duke%20Solutions/1001/DS%20WE%20Oct12%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amp;LINDSAY/ACQUISTN/Santiago/Downtow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CCT/Portfolio%20Financial%20Reports%20and%20KPIs/12-04%20MEC/December%2004%20Portfolio%20Financial%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Documents%20and%20Settings/mhyman/Local%20Settings/Temporary%20Internet%20Files/OLK1F/296-1800%20RObert%20Fulton/296-2002/1800%20RFD%202002%20Final%20Excel%20Budge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Users/Owner/AppData/Local/Microsoft/Windows/INetCache/Content.Outlook/4Z2GAH4T/Expen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DS WE Sept28"/>
      <sheetName val="DS WE Oct5"/>
      <sheetName val="DS WE Oct 12"/>
      <sheetName val="October Combined"/>
      <sheetName val="DS WE MMDD"/>
      <sheetName val="Business Unit List"/>
      <sheetName val="Ori Combined"/>
    </sheetNames>
    <sheetDataSet>
      <sheetData sheetId="0"/>
      <sheetData sheetId="1"/>
      <sheetData sheetId="2"/>
      <sheetData sheetId="3"/>
      <sheetData sheetId="4"/>
      <sheetData sheetId="5"/>
      <sheetData sheetId="6" refreshError="1">
        <row r="2">
          <cell r="A2" t="str">
            <v>Atlanta</v>
          </cell>
          <cell r="B2">
            <v>73701</v>
          </cell>
        </row>
        <row r="3">
          <cell r="B3">
            <v>73801</v>
          </cell>
        </row>
        <row r="4">
          <cell r="B4">
            <v>73901</v>
          </cell>
        </row>
        <row r="5">
          <cell r="B5">
            <v>74101</v>
          </cell>
        </row>
        <row r="6">
          <cell r="B6">
            <v>74301</v>
          </cell>
        </row>
        <row r="7">
          <cell r="B7">
            <v>74401</v>
          </cell>
        </row>
        <row r="8">
          <cell r="B8">
            <v>74501</v>
          </cell>
        </row>
        <row r="9">
          <cell r="B9">
            <v>76501</v>
          </cell>
        </row>
        <row r="10">
          <cell r="B10">
            <v>78901</v>
          </cell>
        </row>
        <row r="11">
          <cell r="B11">
            <v>79001</v>
          </cell>
        </row>
        <row r="12">
          <cell r="B12">
            <v>79301</v>
          </cell>
        </row>
        <row r="13">
          <cell r="B13">
            <v>79302</v>
          </cell>
        </row>
        <row r="14">
          <cell r="B14">
            <v>79303</v>
          </cell>
        </row>
        <row r="15">
          <cell r="B15">
            <v>700301</v>
          </cell>
        </row>
        <row r="16">
          <cell r="B16">
            <v>700302</v>
          </cell>
        </row>
        <row r="17">
          <cell r="B17">
            <v>706601</v>
          </cell>
        </row>
        <row r="18">
          <cell r="B18">
            <v>72301</v>
          </cell>
        </row>
        <row r="19">
          <cell r="B19">
            <v>72302</v>
          </cell>
        </row>
        <row r="20">
          <cell r="B20">
            <v>72303</v>
          </cell>
        </row>
        <row r="21">
          <cell r="B21">
            <v>75601</v>
          </cell>
        </row>
        <row r="22">
          <cell r="B22">
            <v>702301</v>
          </cell>
        </row>
        <row r="23">
          <cell r="B23">
            <v>702302</v>
          </cell>
        </row>
        <row r="24">
          <cell r="B24">
            <v>700403</v>
          </cell>
        </row>
        <row r="25">
          <cell r="B25">
            <v>71001</v>
          </cell>
        </row>
        <row r="26">
          <cell r="B26">
            <v>77601</v>
          </cell>
        </row>
        <row r="27">
          <cell r="B27">
            <v>77602</v>
          </cell>
        </row>
        <row r="28">
          <cell r="B28">
            <v>77701</v>
          </cell>
        </row>
        <row r="29">
          <cell r="B29">
            <v>78701</v>
          </cell>
        </row>
        <row r="30">
          <cell r="B30">
            <v>78702</v>
          </cell>
        </row>
        <row r="31">
          <cell r="B31">
            <v>78801</v>
          </cell>
        </row>
        <row r="32">
          <cell r="B32">
            <v>76901</v>
          </cell>
        </row>
        <row r="33">
          <cell r="B33">
            <v>76902</v>
          </cell>
        </row>
        <row r="34">
          <cell r="B34">
            <v>76903</v>
          </cell>
        </row>
        <row r="35">
          <cell r="B35">
            <v>78201</v>
          </cell>
        </row>
        <row r="36">
          <cell r="B36">
            <v>78401</v>
          </cell>
        </row>
        <row r="37">
          <cell r="B37">
            <v>700101</v>
          </cell>
        </row>
        <row r="38">
          <cell r="B38">
            <v>700102</v>
          </cell>
        </row>
        <row r="39">
          <cell r="B39">
            <v>702201</v>
          </cell>
        </row>
        <row r="40">
          <cell r="B40">
            <v>705901</v>
          </cell>
        </row>
        <row r="41">
          <cell r="B41">
            <v>705902</v>
          </cell>
        </row>
        <row r="42">
          <cell r="B42">
            <v>705903</v>
          </cell>
        </row>
        <row r="43">
          <cell r="B43">
            <v>706301</v>
          </cell>
        </row>
        <row r="44">
          <cell r="B44">
            <v>70501</v>
          </cell>
        </row>
        <row r="45">
          <cell r="B45">
            <v>70502</v>
          </cell>
        </row>
        <row r="46">
          <cell r="B46">
            <v>70601</v>
          </cell>
        </row>
        <row r="47">
          <cell r="B47">
            <v>70701</v>
          </cell>
        </row>
        <row r="48">
          <cell r="B48">
            <v>72401</v>
          </cell>
        </row>
        <row r="49">
          <cell r="B49">
            <v>72402</v>
          </cell>
        </row>
        <row r="50">
          <cell r="B50">
            <v>72403</v>
          </cell>
        </row>
        <row r="51">
          <cell r="B51">
            <v>707603</v>
          </cell>
        </row>
        <row r="52">
          <cell r="B52">
            <v>128</v>
          </cell>
        </row>
        <row r="53">
          <cell r="B53">
            <v>70301</v>
          </cell>
        </row>
        <row r="54">
          <cell r="B54">
            <v>70302</v>
          </cell>
        </row>
        <row r="55">
          <cell r="B55">
            <v>70303</v>
          </cell>
        </row>
        <row r="56">
          <cell r="B56">
            <v>70304</v>
          </cell>
        </row>
        <row r="57">
          <cell r="B57">
            <v>70305</v>
          </cell>
        </row>
        <row r="58">
          <cell r="B58">
            <v>70306</v>
          </cell>
        </row>
        <row r="59">
          <cell r="B59">
            <v>70307</v>
          </cell>
        </row>
        <row r="60">
          <cell r="B60">
            <v>70308</v>
          </cell>
        </row>
        <row r="61">
          <cell r="B61">
            <v>76701</v>
          </cell>
        </row>
        <row r="62">
          <cell r="B62">
            <v>76702</v>
          </cell>
        </row>
        <row r="63">
          <cell r="B63">
            <v>76703</v>
          </cell>
        </row>
        <row r="64">
          <cell r="B64">
            <v>76704</v>
          </cell>
        </row>
        <row r="65">
          <cell r="B65">
            <v>76705</v>
          </cell>
        </row>
        <row r="66">
          <cell r="B66">
            <v>76706</v>
          </cell>
        </row>
        <row r="67">
          <cell r="B67">
            <v>76707</v>
          </cell>
        </row>
        <row r="68">
          <cell r="B68">
            <v>704101</v>
          </cell>
        </row>
        <row r="69">
          <cell r="B69">
            <v>705301</v>
          </cell>
        </row>
        <row r="70">
          <cell r="B70">
            <v>705302</v>
          </cell>
        </row>
        <row r="71">
          <cell r="B71">
            <v>705303</v>
          </cell>
        </row>
        <row r="72">
          <cell r="B72">
            <v>705304</v>
          </cell>
        </row>
        <row r="73">
          <cell r="B73">
            <v>705305</v>
          </cell>
        </row>
        <row r="74">
          <cell r="B74">
            <v>705306</v>
          </cell>
        </row>
        <row r="75">
          <cell r="B75">
            <v>705307</v>
          </cell>
        </row>
        <row r="76">
          <cell r="B76">
            <v>705501</v>
          </cell>
        </row>
        <row r="77">
          <cell r="B77">
            <v>705502</v>
          </cell>
        </row>
        <row r="78">
          <cell r="B78">
            <v>706001</v>
          </cell>
        </row>
        <row r="79">
          <cell r="B79">
            <v>706002</v>
          </cell>
        </row>
        <row r="80">
          <cell r="B80">
            <v>706003</v>
          </cell>
        </row>
        <row r="81">
          <cell r="B81">
            <v>706004</v>
          </cell>
        </row>
        <row r="82">
          <cell r="B82">
            <v>706201</v>
          </cell>
        </row>
        <row r="83">
          <cell r="B83">
            <v>706202</v>
          </cell>
        </row>
        <row r="84">
          <cell r="B84">
            <v>706203</v>
          </cell>
        </row>
        <row r="85">
          <cell r="B85">
            <v>706204</v>
          </cell>
        </row>
        <row r="86">
          <cell r="B86">
            <v>706205</v>
          </cell>
        </row>
        <row r="87">
          <cell r="B87">
            <v>706206</v>
          </cell>
        </row>
        <row r="88">
          <cell r="B88">
            <v>706207</v>
          </cell>
        </row>
        <row r="89">
          <cell r="B89">
            <v>706801</v>
          </cell>
        </row>
        <row r="90">
          <cell r="B90">
            <v>706802</v>
          </cell>
        </row>
        <row r="91">
          <cell r="B91">
            <v>706803</v>
          </cell>
        </row>
        <row r="92">
          <cell r="B92">
            <v>706901</v>
          </cell>
        </row>
        <row r="93">
          <cell r="B93">
            <v>707801</v>
          </cell>
        </row>
        <row r="94">
          <cell r="B94">
            <v>707802</v>
          </cell>
        </row>
        <row r="95">
          <cell r="B95">
            <v>707803</v>
          </cell>
        </row>
        <row r="96">
          <cell r="B96">
            <v>72901</v>
          </cell>
        </row>
        <row r="97">
          <cell r="B97">
            <v>72902</v>
          </cell>
        </row>
        <row r="98">
          <cell r="B98">
            <v>73001</v>
          </cell>
        </row>
        <row r="99">
          <cell r="B99">
            <v>73002</v>
          </cell>
        </row>
        <row r="100">
          <cell r="B100">
            <v>73101</v>
          </cell>
        </row>
        <row r="101">
          <cell r="B101">
            <v>73102</v>
          </cell>
        </row>
        <row r="102">
          <cell r="B102">
            <v>73103</v>
          </cell>
        </row>
        <row r="103">
          <cell r="B103">
            <v>73201</v>
          </cell>
        </row>
        <row r="104">
          <cell r="B104">
            <v>73202</v>
          </cell>
        </row>
        <row r="105">
          <cell r="B105">
            <v>73203</v>
          </cell>
        </row>
        <row r="106">
          <cell r="B106">
            <v>73204</v>
          </cell>
        </row>
        <row r="107">
          <cell r="B107">
            <v>73301</v>
          </cell>
        </row>
        <row r="108">
          <cell r="B108">
            <v>73302</v>
          </cell>
        </row>
        <row r="109">
          <cell r="B109">
            <v>73401</v>
          </cell>
        </row>
        <row r="110">
          <cell r="B110">
            <v>73402</v>
          </cell>
        </row>
        <row r="111">
          <cell r="B111">
            <v>73501</v>
          </cell>
        </row>
        <row r="112">
          <cell r="B112">
            <v>73502</v>
          </cell>
        </row>
        <row r="113">
          <cell r="B113">
            <v>73503</v>
          </cell>
        </row>
        <row r="114">
          <cell r="B114">
            <v>73504</v>
          </cell>
        </row>
        <row r="115">
          <cell r="B115">
            <v>73505</v>
          </cell>
        </row>
        <row r="116">
          <cell r="B116">
            <v>73506</v>
          </cell>
        </row>
        <row r="117">
          <cell r="B117">
            <v>77901</v>
          </cell>
        </row>
        <row r="118">
          <cell r="B118">
            <v>78601</v>
          </cell>
        </row>
        <row r="119">
          <cell r="B119">
            <v>78602</v>
          </cell>
        </row>
        <row r="120">
          <cell r="B120">
            <v>78603</v>
          </cell>
        </row>
        <row r="121">
          <cell r="B121">
            <v>78604</v>
          </cell>
        </row>
        <row r="122">
          <cell r="B122">
            <v>702001</v>
          </cell>
        </row>
        <row r="123">
          <cell r="B123">
            <v>705701</v>
          </cell>
        </row>
        <row r="124">
          <cell r="B124">
            <v>705702</v>
          </cell>
        </row>
        <row r="125">
          <cell r="B125">
            <v>705801</v>
          </cell>
        </row>
        <row r="126">
          <cell r="B126">
            <v>705802</v>
          </cell>
        </row>
        <row r="127">
          <cell r="B127">
            <v>705803</v>
          </cell>
        </row>
        <row r="128">
          <cell r="B128">
            <v>705804</v>
          </cell>
        </row>
        <row r="129">
          <cell r="B129">
            <v>705805</v>
          </cell>
        </row>
        <row r="130">
          <cell r="B130">
            <v>710001</v>
          </cell>
        </row>
        <row r="131">
          <cell r="B131">
            <v>710002</v>
          </cell>
        </row>
        <row r="132">
          <cell r="B132">
            <v>704801</v>
          </cell>
        </row>
        <row r="133">
          <cell r="B133">
            <v>704802</v>
          </cell>
        </row>
        <row r="134">
          <cell r="B134">
            <v>704803</v>
          </cell>
        </row>
        <row r="135">
          <cell r="B135">
            <v>704804</v>
          </cell>
        </row>
        <row r="136">
          <cell r="B136">
            <v>706501</v>
          </cell>
        </row>
        <row r="137">
          <cell r="B137">
            <v>706502</v>
          </cell>
        </row>
        <row r="138">
          <cell r="B138">
            <v>706503</v>
          </cell>
        </row>
        <row r="139">
          <cell r="B139">
            <v>707301</v>
          </cell>
        </row>
        <row r="140">
          <cell r="B140">
            <v>707302</v>
          </cell>
        </row>
        <row r="141">
          <cell r="B141">
            <v>707303</v>
          </cell>
        </row>
        <row r="142">
          <cell r="B142">
            <v>79201</v>
          </cell>
        </row>
        <row r="143">
          <cell r="B143">
            <v>79202</v>
          </cell>
        </row>
        <row r="144">
          <cell r="B144">
            <v>79203</v>
          </cell>
        </row>
        <row r="145">
          <cell r="B145">
            <v>79204</v>
          </cell>
        </row>
        <row r="146">
          <cell r="B146">
            <v>79205</v>
          </cell>
        </row>
        <row r="147">
          <cell r="B147">
            <v>700001</v>
          </cell>
        </row>
        <row r="148">
          <cell r="B148">
            <v>700002</v>
          </cell>
        </row>
        <row r="149">
          <cell r="B149">
            <v>700003</v>
          </cell>
        </row>
        <row r="150">
          <cell r="B150">
            <v>701501</v>
          </cell>
        </row>
        <row r="151">
          <cell r="B151">
            <v>701502</v>
          </cell>
        </row>
        <row r="152">
          <cell r="B152">
            <v>703501</v>
          </cell>
        </row>
        <row r="153">
          <cell r="B153">
            <v>709201</v>
          </cell>
        </row>
        <row r="154">
          <cell r="B154">
            <v>77201</v>
          </cell>
        </row>
        <row r="155">
          <cell r="B155">
            <v>77202</v>
          </cell>
        </row>
        <row r="156">
          <cell r="B156">
            <v>77801</v>
          </cell>
        </row>
        <row r="157">
          <cell r="B157">
            <v>700901</v>
          </cell>
        </row>
        <row r="158">
          <cell r="B158">
            <v>700902</v>
          </cell>
        </row>
        <row r="159">
          <cell r="B159">
            <v>700903</v>
          </cell>
        </row>
        <row r="160">
          <cell r="B160">
            <v>701801</v>
          </cell>
        </row>
        <row r="161">
          <cell r="B161">
            <v>706401</v>
          </cell>
        </row>
        <row r="162">
          <cell r="B162">
            <v>706402</v>
          </cell>
        </row>
        <row r="163">
          <cell r="B163">
            <v>707501</v>
          </cell>
        </row>
        <row r="164">
          <cell r="B164">
            <v>707502</v>
          </cell>
        </row>
        <row r="165">
          <cell r="B165">
            <v>707503</v>
          </cell>
        </row>
        <row r="166">
          <cell r="B166">
            <v>707504</v>
          </cell>
        </row>
        <row r="167">
          <cell r="B167">
            <v>707505</v>
          </cell>
        </row>
        <row r="168">
          <cell r="B168">
            <v>707506</v>
          </cell>
        </row>
        <row r="169">
          <cell r="B169">
            <v>708401</v>
          </cell>
        </row>
        <row r="170">
          <cell r="B170">
            <v>709001</v>
          </cell>
        </row>
        <row r="171">
          <cell r="B171">
            <v>709002</v>
          </cell>
        </row>
        <row r="172">
          <cell r="B172">
            <v>709003</v>
          </cell>
        </row>
        <row r="173">
          <cell r="B173">
            <v>709004</v>
          </cell>
        </row>
        <row r="174">
          <cell r="B174">
            <v>709005</v>
          </cell>
        </row>
        <row r="175">
          <cell r="B175">
            <v>70901</v>
          </cell>
        </row>
        <row r="176">
          <cell r="B176">
            <v>70902</v>
          </cell>
        </row>
        <row r="177">
          <cell r="B177">
            <v>70903</v>
          </cell>
        </row>
        <row r="178">
          <cell r="B178">
            <v>70904</v>
          </cell>
        </row>
        <row r="179">
          <cell r="B179">
            <v>70905</v>
          </cell>
        </row>
        <row r="180">
          <cell r="B180">
            <v>70906</v>
          </cell>
        </row>
        <row r="181">
          <cell r="B181">
            <v>70907</v>
          </cell>
        </row>
        <row r="182">
          <cell r="B182">
            <v>70908</v>
          </cell>
        </row>
        <row r="183">
          <cell r="B183">
            <v>70909</v>
          </cell>
        </row>
        <row r="184">
          <cell r="B184">
            <v>70910</v>
          </cell>
        </row>
        <row r="185">
          <cell r="B185">
            <v>75401</v>
          </cell>
        </row>
        <row r="186">
          <cell r="B186">
            <v>75402</v>
          </cell>
        </row>
        <row r="187">
          <cell r="B187">
            <v>78101</v>
          </cell>
        </row>
        <row r="188">
          <cell r="B188">
            <v>78102</v>
          </cell>
        </row>
        <row r="189">
          <cell r="B189">
            <v>78103</v>
          </cell>
        </row>
        <row r="190">
          <cell r="B190">
            <v>78104</v>
          </cell>
        </row>
        <row r="191">
          <cell r="B191">
            <v>78105</v>
          </cell>
        </row>
        <row r="192">
          <cell r="B192">
            <v>78106</v>
          </cell>
        </row>
        <row r="193">
          <cell r="B193">
            <v>79601</v>
          </cell>
        </row>
        <row r="194">
          <cell r="B194">
            <v>700601</v>
          </cell>
        </row>
        <row r="195">
          <cell r="B195">
            <v>700602</v>
          </cell>
        </row>
        <row r="196">
          <cell r="B196">
            <v>700603</v>
          </cell>
        </row>
        <row r="197">
          <cell r="B197">
            <v>700604</v>
          </cell>
        </row>
        <row r="198">
          <cell r="B198">
            <v>700605</v>
          </cell>
        </row>
        <row r="199">
          <cell r="B199">
            <v>700606</v>
          </cell>
        </row>
        <row r="200">
          <cell r="B200">
            <v>701701</v>
          </cell>
        </row>
        <row r="201">
          <cell r="B201">
            <v>701702</v>
          </cell>
        </row>
        <row r="202">
          <cell r="B202">
            <v>701704</v>
          </cell>
        </row>
        <row r="203">
          <cell r="B203">
            <v>703601</v>
          </cell>
        </row>
        <row r="204">
          <cell r="B204">
            <v>70101</v>
          </cell>
        </row>
        <row r="205">
          <cell r="B205">
            <v>70102</v>
          </cell>
        </row>
        <row r="206">
          <cell r="B206">
            <v>70103</v>
          </cell>
        </row>
        <row r="207">
          <cell r="B207">
            <v>70104</v>
          </cell>
        </row>
        <row r="208">
          <cell r="B208">
            <v>70201</v>
          </cell>
        </row>
        <row r="209">
          <cell r="B209">
            <v>70202</v>
          </cell>
        </row>
        <row r="210">
          <cell r="B210">
            <v>70203</v>
          </cell>
        </row>
        <row r="211">
          <cell r="B211">
            <v>70204</v>
          </cell>
        </row>
        <row r="212">
          <cell r="B212">
            <v>71301</v>
          </cell>
        </row>
        <row r="213">
          <cell r="B213">
            <v>71501</v>
          </cell>
        </row>
        <row r="214">
          <cell r="B214">
            <v>71701</v>
          </cell>
        </row>
        <row r="215">
          <cell r="B215">
            <v>71702</v>
          </cell>
        </row>
        <row r="216">
          <cell r="B216">
            <v>71703</v>
          </cell>
        </row>
        <row r="217">
          <cell r="B217">
            <v>71704</v>
          </cell>
        </row>
        <row r="218">
          <cell r="B218">
            <v>71705</v>
          </cell>
        </row>
        <row r="219">
          <cell r="B219">
            <v>71706</v>
          </cell>
        </row>
        <row r="220">
          <cell r="B220">
            <v>71707</v>
          </cell>
        </row>
        <row r="221">
          <cell r="B221">
            <v>71708</v>
          </cell>
        </row>
        <row r="222">
          <cell r="B222">
            <v>71709</v>
          </cell>
        </row>
        <row r="223">
          <cell r="B223">
            <v>71710</v>
          </cell>
        </row>
        <row r="224">
          <cell r="B224">
            <v>71711</v>
          </cell>
        </row>
        <row r="225">
          <cell r="B225">
            <v>71712</v>
          </cell>
        </row>
        <row r="226">
          <cell r="B226">
            <v>71713</v>
          </cell>
        </row>
        <row r="227">
          <cell r="B227">
            <v>71714</v>
          </cell>
        </row>
        <row r="228">
          <cell r="B228">
            <v>77001</v>
          </cell>
        </row>
        <row r="229">
          <cell r="B229">
            <v>77002</v>
          </cell>
        </row>
        <row r="230">
          <cell r="B230">
            <v>78001</v>
          </cell>
        </row>
        <row r="231">
          <cell r="B231">
            <v>701901</v>
          </cell>
        </row>
        <row r="232">
          <cell r="B232">
            <v>703901</v>
          </cell>
        </row>
        <row r="233">
          <cell r="B233">
            <v>704901</v>
          </cell>
        </row>
        <row r="234">
          <cell r="B234">
            <v>704902</v>
          </cell>
        </row>
        <row r="235">
          <cell r="B235">
            <v>705401</v>
          </cell>
        </row>
        <row r="236">
          <cell r="B236">
            <v>705402</v>
          </cell>
        </row>
        <row r="237">
          <cell r="B237">
            <v>705403</v>
          </cell>
        </row>
        <row r="238">
          <cell r="B238">
            <v>706701</v>
          </cell>
        </row>
        <row r="239">
          <cell r="B239">
            <v>706702</v>
          </cell>
        </row>
        <row r="240">
          <cell r="B240">
            <v>706703</v>
          </cell>
        </row>
        <row r="241">
          <cell r="B241">
            <v>706704</v>
          </cell>
        </row>
        <row r="242">
          <cell r="B242">
            <v>706705</v>
          </cell>
        </row>
        <row r="243">
          <cell r="B243">
            <v>706706</v>
          </cell>
        </row>
        <row r="244">
          <cell r="B244">
            <v>709101</v>
          </cell>
        </row>
        <row r="245">
          <cell r="B245">
            <v>709102</v>
          </cell>
        </row>
        <row r="246">
          <cell r="B246">
            <v>101</v>
          </cell>
        </row>
        <row r="247">
          <cell r="B247">
            <v>102</v>
          </cell>
        </row>
        <row r="248">
          <cell r="B248">
            <v>103</v>
          </cell>
        </row>
        <row r="249">
          <cell r="B249">
            <v>110</v>
          </cell>
        </row>
        <row r="250">
          <cell r="B250">
            <v>120</v>
          </cell>
        </row>
        <row r="251">
          <cell r="B251">
            <v>130</v>
          </cell>
        </row>
        <row r="252">
          <cell r="B252">
            <v>230</v>
          </cell>
        </row>
        <row r="253">
          <cell r="B253">
            <v>709401</v>
          </cell>
        </row>
        <row r="254">
          <cell r="B254">
            <v>709402</v>
          </cell>
        </row>
        <row r="255">
          <cell r="B255">
            <v>709403</v>
          </cell>
        </row>
        <row r="256">
          <cell r="B256">
            <v>709501</v>
          </cell>
        </row>
        <row r="257">
          <cell r="B257">
            <v>709502</v>
          </cell>
        </row>
        <row r="258">
          <cell r="B258">
            <v>293</v>
          </cell>
        </row>
        <row r="259">
          <cell r="B259">
            <v>708302</v>
          </cell>
        </row>
        <row r="260">
          <cell r="B260">
            <v>26601</v>
          </cell>
        </row>
        <row r="261">
          <cell r="B261">
            <v>26602</v>
          </cell>
        </row>
        <row r="262">
          <cell r="B262">
            <v>268</v>
          </cell>
        </row>
        <row r="263">
          <cell r="B263">
            <v>294</v>
          </cell>
        </row>
        <row r="264">
          <cell r="B264">
            <v>480</v>
          </cell>
        </row>
        <row r="265">
          <cell r="B265">
            <v>630</v>
          </cell>
        </row>
        <row r="266">
          <cell r="B266">
            <v>687</v>
          </cell>
        </row>
        <row r="267">
          <cell r="B267">
            <v>68901</v>
          </cell>
        </row>
        <row r="268">
          <cell r="B268">
            <v>68902</v>
          </cell>
        </row>
        <row r="269">
          <cell r="B269">
            <v>69101</v>
          </cell>
        </row>
        <row r="270">
          <cell r="B270">
            <v>69102</v>
          </cell>
        </row>
        <row r="271">
          <cell r="B271">
            <v>600201</v>
          </cell>
        </row>
        <row r="272">
          <cell r="B272">
            <v>600202</v>
          </cell>
        </row>
        <row r="273">
          <cell r="B273">
            <v>600801</v>
          </cell>
        </row>
        <row r="274">
          <cell r="B274">
            <v>296</v>
          </cell>
        </row>
        <row r="275">
          <cell r="B275">
            <v>299</v>
          </cell>
        </row>
        <row r="276">
          <cell r="B276">
            <v>300</v>
          </cell>
        </row>
        <row r="277">
          <cell r="B277">
            <v>350</v>
          </cell>
        </row>
        <row r="278">
          <cell r="B278">
            <v>391</v>
          </cell>
        </row>
        <row r="279">
          <cell r="B279">
            <v>392</v>
          </cell>
        </row>
        <row r="280">
          <cell r="B280">
            <v>400</v>
          </cell>
        </row>
        <row r="281">
          <cell r="B281">
            <v>410</v>
          </cell>
        </row>
        <row r="282">
          <cell r="B282">
            <v>460</v>
          </cell>
        </row>
        <row r="283">
          <cell r="B283">
            <v>470</v>
          </cell>
        </row>
        <row r="284">
          <cell r="B284">
            <v>680</v>
          </cell>
        </row>
        <row r="285">
          <cell r="B285">
            <v>686</v>
          </cell>
        </row>
        <row r="286">
          <cell r="B286">
            <v>200</v>
          </cell>
        </row>
        <row r="287">
          <cell r="B287">
            <v>420</v>
          </cell>
        </row>
        <row r="288">
          <cell r="B288">
            <v>560</v>
          </cell>
        </row>
        <row r="289">
          <cell r="B289">
            <v>570</v>
          </cell>
        </row>
        <row r="290">
          <cell r="B290">
            <v>590</v>
          </cell>
        </row>
        <row r="291">
          <cell r="B291">
            <v>620</v>
          </cell>
        </row>
        <row r="292">
          <cell r="B292">
            <v>840</v>
          </cell>
        </row>
        <row r="293">
          <cell r="B293">
            <v>69201</v>
          </cell>
        </row>
        <row r="294">
          <cell r="B294">
            <v>600401</v>
          </cell>
        </row>
        <row r="295">
          <cell r="B295">
            <v>600501</v>
          </cell>
        </row>
        <row r="296">
          <cell r="B296">
            <v>272</v>
          </cell>
        </row>
        <row r="297">
          <cell r="B297">
            <v>565</v>
          </cell>
        </row>
        <row r="298">
          <cell r="B298">
            <v>650</v>
          </cell>
        </row>
        <row r="299">
          <cell r="B299">
            <v>6003</v>
          </cell>
        </row>
        <row r="300">
          <cell r="B300">
            <v>600701</v>
          </cell>
        </row>
        <row r="301">
          <cell r="B301">
            <v>600702</v>
          </cell>
        </row>
        <row r="302">
          <cell r="B302">
            <v>600721</v>
          </cell>
        </row>
        <row r="303">
          <cell r="B303">
            <v>600722</v>
          </cell>
        </row>
        <row r="304">
          <cell r="B304">
            <v>600741</v>
          </cell>
        </row>
        <row r="305">
          <cell r="B305">
            <v>600742</v>
          </cell>
        </row>
        <row r="306">
          <cell r="B306">
            <v>600743</v>
          </cell>
        </row>
        <row r="307">
          <cell r="B307">
            <v>600744</v>
          </cell>
        </row>
        <row r="308">
          <cell r="B308">
            <v>298</v>
          </cell>
        </row>
        <row r="309">
          <cell r="B309">
            <v>619</v>
          </cell>
        </row>
        <row r="310">
          <cell r="B310">
            <v>640</v>
          </cell>
        </row>
        <row r="311">
          <cell r="B311">
            <v>641</v>
          </cell>
        </row>
        <row r="312">
          <cell r="B312">
            <v>644</v>
          </cell>
        </row>
        <row r="313">
          <cell r="B313">
            <v>649</v>
          </cell>
        </row>
        <row r="314">
          <cell r="B314">
            <v>683</v>
          </cell>
        </row>
        <row r="315">
          <cell r="B315">
            <v>763</v>
          </cell>
        </row>
        <row r="316">
          <cell r="B316">
            <v>269</v>
          </cell>
        </row>
        <row r="317">
          <cell r="B317">
            <v>900102</v>
          </cell>
        </row>
        <row r="318">
          <cell r="B318">
            <v>900103</v>
          </cell>
        </row>
        <row r="319">
          <cell r="B319">
            <v>900104</v>
          </cell>
        </row>
        <row r="320">
          <cell r="B320">
            <v>900105</v>
          </cell>
        </row>
        <row r="321">
          <cell r="B321">
            <v>900106</v>
          </cell>
        </row>
        <row r="322">
          <cell r="B322">
            <v>900107</v>
          </cell>
        </row>
        <row r="323">
          <cell r="B323">
            <v>900108</v>
          </cell>
        </row>
        <row r="324">
          <cell r="B324">
            <v>900109</v>
          </cell>
        </row>
        <row r="325">
          <cell r="B325">
            <v>900201</v>
          </cell>
        </row>
        <row r="326">
          <cell r="B326">
            <v>900202</v>
          </cell>
        </row>
        <row r="327">
          <cell r="B327">
            <v>900203</v>
          </cell>
        </row>
        <row r="328">
          <cell r="B328">
            <v>900205</v>
          </cell>
        </row>
        <row r="329">
          <cell r="B329">
            <v>900303</v>
          </cell>
        </row>
        <row r="330">
          <cell r="B330">
            <v>900304</v>
          </cell>
        </row>
        <row r="331">
          <cell r="B331">
            <v>900305</v>
          </cell>
        </row>
        <row r="332">
          <cell r="B332">
            <v>900306</v>
          </cell>
        </row>
        <row r="333">
          <cell r="B333">
            <v>900310</v>
          </cell>
        </row>
        <row r="334">
          <cell r="B334">
            <v>900401</v>
          </cell>
        </row>
        <row r="335">
          <cell r="B335">
            <v>900402</v>
          </cell>
        </row>
        <row r="336">
          <cell r="B336">
            <v>900403</v>
          </cell>
        </row>
        <row r="337">
          <cell r="B337">
            <v>900407</v>
          </cell>
        </row>
        <row r="338">
          <cell r="B338">
            <v>900501</v>
          </cell>
        </row>
        <row r="339">
          <cell r="B339">
            <v>900502</v>
          </cell>
        </row>
        <row r="340">
          <cell r="B340">
            <v>900503</v>
          </cell>
        </row>
        <row r="341">
          <cell r="B341">
            <v>900505</v>
          </cell>
        </row>
        <row r="342">
          <cell r="B342">
            <v>900508</v>
          </cell>
        </row>
        <row r="343">
          <cell r="B343">
            <v>900510</v>
          </cell>
        </row>
        <row r="344">
          <cell r="B344">
            <v>140</v>
          </cell>
        </row>
        <row r="345">
          <cell r="B345">
            <v>160</v>
          </cell>
        </row>
        <row r="346">
          <cell r="B346">
            <v>240</v>
          </cell>
        </row>
        <row r="347">
          <cell r="B347">
            <v>245</v>
          </cell>
        </row>
        <row r="348">
          <cell r="B348">
            <v>246</v>
          </cell>
        </row>
        <row r="349">
          <cell r="B349">
            <v>880</v>
          </cell>
        </row>
      </sheetData>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DeveloperFeeRev"/>
      <sheetName val="Cover"/>
      <sheetName val="Reporting Summary RVSD"/>
      <sheetName val="Pipeline Summary"/>
      <sheetName val="Detail"/>
      <sheetName val="Sheet1"/>
      <sheetName val="Reporting Summary - OLD"/>
      <sheetName val="EstAnnualFeeSchedule"/>
      <sheetName val="Staff Capacity"/>
      <sheetName val="Gross-Net"/>
    </sheetNames>
    <sheetDataSet>
      <sheetData sheetId="0"/>
      <sheetData sheetId="1"/>
      <sheetData sheetId="2"/>
      <sheetData sheetId="3"/>
      <sheetData sheetId="4">
        <row r="3">
          <cell r="A3" t="str">
            <v>Englewood</v>
          </cell>
          <cell r="H3">
            <v>99</v>
          </cell>
        </row>
        <row r="4">
          <cell r="A4" t="str">
            <v>Countryside Senior Apts</v>
          </cell>
          <cell r="H4">
            <v>70</v>
          </cell>
        </row>
        <row r="5">
          <cell r="A5" t="str">
            <v>Johnston Center</v>
          </cell>
          <cell r="H5">
            <v>91</v>
          </cell>
        </row>
        <row r="6">
          <cell r="A6" t="str">
            <v>Roseland Place</v>
          </cell>
          <cell r="H6">
            <v>60</v>
          </cell>
        </row>
        <row r="8">
          <cell r="A8" t="str">
            <v>Uptown Bond (HWA)</v>
          </cell>
          <cell r="H8">
            <v>69</v>
          </cell>
        </row>
        <row r="9">
          <cell r="H9">
            <v>70</v>
          </cell>
        </row>
        <row r="10">
          <cell r="A10" t="str">
            <v>Pullman Wheelworks</v>
          </cell>
          <cell r="H10">
            <v>210</v>
          </cell>
        </row>
        <row r="11">
          <cell r="H11">
            <v>187</v>
          </cell>
        </row>
        <row r="12">
          <cell r="A12" t="str">
            <v xml:space="preserve">Keating Building </v>
          </cell>
          <cell r="H12">
            <v>112</v>
          </cell>
        </row>
        <row r="13">
          <cell r="A13" t="str">
            <v>Uptown Resyndication</v>
          </cell>
          <cell r="H13">
            <v>529</v>
          </cell>
        </row>
        <row r="14">
          <cell r="A14" t="str">
            <v>Danville VA Hospital Site</v>
          </cell>
          <cell r="H14">
            <v>60</v>
          </cell>
        </row>
        <row r="15">
          <cell r="A15" t="str">
            <v>Kankakee</v>
          </cell>
          <cell r="H15">
            <v>70</v>
          </cell>
        </row>
        <row r="16">
          <cell r="A16" t="str">
            <v>Streeterville (Childrens Memorial)</v>
          </cell>
          <cell r="H16">
            <v>95</v>
          </cell>
        </row>
        <row r="17">
          <cell r="A17" t="str">
            <v>Greenwich Park Apartments</v>
          </cell>
          <cell r="H17">
            <v>55</v>
          </cell>
        </row>
        <row r="18">
          <cell r="A18" t="str">
            <v>YMCA Austin</v>
          </cell>
          <cell r="H18">
            <v>160</v>
          </cell>
        </row>
        <row r="19">
          <cell r="A19" t="str">
            <v>MSR 5th Ward Project</v>
          </cell>
          <cell r="H19">
            <v>55</v>
          </cell>
        </row>
        <row r="27">
          <cell r="A27" t="str">
            <v>Danville VA Hospital Site/phase1</v>
          </cell>
          <cell r="H27">
            <v>40</v>
          </cell>
        </row>
        <row r="40">
          <cell r="A40" t="str">
            <v>Galewood SLF</v>
          </cell>
          <cell r="H40">
            <v>102</v>
          </cell>
        </row>
        <row r="41">
          <cell r="A41" t="str">
            <v>Malden Arms</v>
          </cell>
          <cell r="H41">
            <v>83</v>
          </cell>
        </row>
        <row r="45">
          <cell r="H45">
            <v>315</v>
          </cell>
        </row>
        <row r="46">
          <cell r="A46" t="str">
            <v>MHL-NNCHC ILF</v>
          </cell>
          <cell r="H46">
            <v>80</v>
          </cell>
        </row>
        <row r="47">
          <cell r="A47" t="str">
            <v>Homan Square (Phase 2)</v>
          </cell>
          <cell r="H47">
            <v>195</v>
          </cell>
        </row>
        <row r="48">
          <cell r="A48" t="str">
            <v>26th &amp; Kostner</v>
          </cell>
          <cell r="H48">
            <v>60</v>
          </cell>
        </row>
        <row r="49">
          <cell r="H49">
            <v>60</v>
          </cell>
        </row>
        <row r="50">
          <cell r="H50">
            <v>60</v>
          </cell>
        </row>
        <row r="51">
          <cell r="H51">
            <v>60</v>
          </cell>
        </row>
        <row r="52">
          <cell r="H52">
            <v>14</v>
          </cell>
        </row>
        <row r="53">
          <cell r="H53">
            <v>38</v>
          </cell>
        </row>
        <row r="54">
          <cell r="H54">
            <v>28</v>
          </cell>
        </row>
        <row r="55">
          <cell r="H55">
            <v>28</v>
          </cell>
        </row>
        <row r="56">
          <cell r="A56" t="str">
            <v>Copley Site (Phase 1)</v>
          </cell>
          <cell r="H56">
            <v>60</v>
          </cell>
        </row>
        <row r="57">
          <cell r="A57" t="str">
            <v>Copley Site</v>
          </cell>
          <cell r="H57">
            <v>60</v>
          </cell>
        </row>
        <row r="58">
          <cell r="H58">
            <v>75</v>
          </cell>
        </row>
        <row r="60">
          <cell r="H60">
            <v>50</v>
          </cell>
        </row>
        <row r="61">
          <cell r="A61" t="str">
            <v>Prince Hall (Phase 1)</v>
          </cell>
          <cell r="H61">
            <v>55</v>
          </cell>
        </row>
        <row r="64">
          <cell r="A64" t="str">
            <v>Library Mall</v>
          </cell>
          <cell r="H64">
            <v>55</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Tabs"/>
      <sheetName val="Accrual Detail Annual Budget "/>
      <sheetName val="Accrual Sum Monthly Budget"/>
      <sheetName val="Accrual Detail Monthly Budget"/>
      <sheetName val="CASH Mod Sum Monthly Budget"/>
      <sheetName val="CASH Detail Monthly Budget "/>
      <sheetName val="Non Detail Tabs"/>
      <sheetName val="Non Detail Exp Entry"/>
      <sheetName val="Bal Sheet Tabs"/>
      <sheetName val="CapEx"/>
      <sheetName val="Loans (Made)-Collected"/>
      <sheetName val="Debt (Reduct) -Increase"/>
      <sheetName val="PropFeed"/>
      <sheetName val="Prop Distribution"/>
      <sheetName val="R Cash RESTRICTION Non FR "/>
      <sheetName val="R Cash RELEASE Non FR"/>
      <sheetName val="RSGrantWS"/>
      <sheetName val="CASH RS Carryover 2011"/>
      <sheetName val="CASH RS Carryover 2012"/>
      <sheetName val="R Cash Release Reg FR"/>
      <sheetName val="Other Bal Sheet Items"/>
      <sheetName val="Revenue Tabs"/>
      <sheetName val="Philanthropy Tabs"/>
      <sheetName val="Indiv Annual"/>
      <sheetName val="CASH Indiv Annual"/>
      <sheetName val="Corp Annual"/>
      <sheetName val="CASH Corp Annual"/>
      <sheetName val="Fdn Annual"/>
      <sheetName val="CASH Fdn Annual"/>
      <sheetName val="Congr Othr Annual"/>
      <sheetName val="CASH Congr Othr Annual"/>
      <sheetName val="MHI NDO PT Donation"/>
      <sheetName val="CASH MHI NDO PT Donation"/>
      <sheetName val="RS Indiv Annual"/>
      <sheetName val="RS CASH Indiv Annual"/>
      <sheetName val="RS Corp Annual"/>
      <sheetName val="RS CASH Corp Annual"/>
      <sheetName val="RS Fdn Annual"/>
      <sheetName val="RS CASH Fdn Annual"/>
      <sheetName val="RS Congr Othr Annual"/>
      <sheetName val="RS CASH Congr Othr Annual"/>
      <sheetName val="RS MHI NDO PT Donation"/>
      <sheetName val="RS CASH MHI NDO PT Donation"/>
      <sheetName val="RSPropPASS THRU"/>
      <sheetName val="SHCP Rev"/>
      <sheetName val="CASH SHCP Rev"/>
      <sheetName val="ServInKind"/>
      <sheetName val="Govt Grants Tabs"/>
      <sheetName val="RS Public Sources Annual"/>
      <sheetName val="RS CASH Public Sources Annual"/>
      <sheetName val="Govt Grants PT to Props"/>
      <sheetName val="Capital Grants Tabs"/>
      <sheetName val="Public Sources Cap Prop"/>
      <sheetName val="CASH Public Sources Cap Prop"/>
      <sheetName val="Fdn&amp;OtherGrantsCapProp"/>
      <sheetName val="CASH Fdn&amp;OtherGrantsCapProp"/>
      <sheetName val="GrantsCapPropPASS THRU"/>
      <sheetName val="Other Contrib &amp; Gifts"/>
      <sheetName val="CASH Other Contrib &amp; Gifts"/>
      <sheetName val="DeveloperFeeRev"/>
      <sheetName val="CASH DeveloperFeeRev"/>
      <sheetName val="DevFee-Deferred"/>
      <sheetName val="CASH DevFee Deferred Rec"/>
      <sheetName val="ProjDevFee "/>
      <sheetName val="CASH ProjDevFee "/>
      <sheetName val="Mgmt"/>
      <sheetName val="AcctBkkpg&amp;Data"/>
      <sheetName val="ConsultFeesForServ"/>
      <sheetName val="CASH ConsultFeesForServ"/>
      <sheetName val="ConsultReimExp"/>
      <sheetName val="CASH ConsultReimExp"/>
      <sheetName val="GrantAdminFee"/>
      <sheetName val="CASH GrantAdminFee"/>
      <sheetName val="NSP PropGrant"/>
      <sheetName val="CASH NSP PropGrant"/>
      <sheetName val="NSP PropGrant PassThru"/>
      <sheetName val="IntNotesRecINCOME"/>
      <sheetName val="IntNotes"/>
      <sheetName val="CASH IntNotes"/>
      <sheetName val="IntMisc"/>
      <sheetName val="AssetMgmtFees"/>
      <sheetName val="CASH AssetMgmtFees"/>
      <sheetName val="InsurAdminRev"/>
      <sheetName val="CASH InsurAdminRev"/>
      <sheetName val="ResServK Rev"/>
      <sheetName val="LoanOriginFees"/>
      <sheetName val="LoanServFees"/>
      <sheetName val="LandBldgProceeds"/>
      <sheetName val="LandBldgCOS"/>
      <sheetName val="LandBldgSellCosts"/>
      <sheetName val="CASH LandBldgProceeds"/>
      <sheetName val="CASH LandBldgCOS"/>
      <sheetName val="CASH LandBldgSellCosts"/>
      <sheetName val="RefinFees"/>
      <sheetName val="CASH RefinFees"/>
      <sheetName val="MiscRev"/>
      <sheetName val="CASH MiscRev"/>
      <sheetName val="Expense Tabs"/>
      <sheetName val="ContractLabor"/>
      <sheetName val="ConvMtgs"/>
      <sheetName val="Events"/>
      <sheetName val="EquipPurch"/>
      <sheetName val="TravelAirTrans"/>
      <sheetName val="TravelRentalCars"/>
      <sheetName val="TravelMilePkgToll"/>
      <sheetName val="TravelLodging"/>
      <sheetName val="TravelBusMeals"/>
      <sheetName val="StaffDevTrng"/>
      <sheetName val="Fundraising"/>
      <sheetName val="GrantsContrExp"/>
      <sheetName val="Consultants"/>
      <sheetName val="Legal"/>
      <sheetName val="OthrProfFees"/>
      <sheetName val="RentExp"/>
      <sheetName val="CASHRentExp"/>
      <sheetName val="Depr"/>
      <sheetName val="ReserveLoanLoss"/>
      <sheetName val="Bad Debt"/>
      <sheetName val="IntExp"/>
      <sheetName val="CASHIntExp"/>
      <sheetName val="IntExpRelend"/>
      <sheetName val="CASHIntExpRelend"/>
      <sheetName val="Transformation-Other"/>
      <sheetName val="CASH Transformation-Other"/>
      <sheetName val="FTE"/>
      <sheetName val="Other Tabs"/>
      <sheetName val="Annual Vlookup"/>
      <sheetName val="Budget 2011"/>
      <sheetName val="CSV"/>
      <sheetName val="DropDownMenu"/>
      <sheetName val="2012 MHL 6124 Multifamily v00"/>
    </sheetNames>
    <sheetDataSet>
      <sheetData sheetId="0"/>
      <sheetData sheetId="1"/>
      <sheetData sheetId="2">
        <row r="1">
          <cell r="A1" t="str">
            <v>MHL Multifamily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3">
          <cell r="C3" t="str">
            <v>New Construction</v>
          </cell>
          <cell r="E3" t="str">
            <v>Prospect</v>
          </cell>
        </row>
        <row r="4">
          <cell r="C4" t="str">
            <v>Acquisition / Rehab</v>
          </cell>
          <cell r="E4" t="str">
            <v>Feasibility</v>
          </cell>
        </row>
        <row r="5">
          <cell r="C5" t="str">
            <v>Refi / Rehab</v>
          </cell>
          <cell r="E5" t="str">
            <v>Development</v>
          </cell>
        </row>
        <row r="6">
          <cell r="C6" t="str">
            <v>Rehab</v>
          </cell>
          <cell r="E6" t="str">
            <v>Construction</v>
          </cell>
        </row>
        <row r="7">
          <cell r="C7" t="str">
            <v>Adaptive Rehab</v>
          </cell>
          <cell r="E7" t="str">
            <v>Operations-Sub Phase Lease Up</v>
          </cell>
        </row>
        <row r="8">
          <cell r="E8" t="str">
            <v>Operations-Sub Phase Close Out</v>
          </cell>
        </row>
      </sheetData>
      <sheetData sheetId="1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Tabs"/>
      <sheetName val="Accrual Detail Annual Budget "/>
      <sheetName val="Accrual Sum Monthly Budget"/>
      <sheetName val="Accrual Detail Monthly Budget"/>
      <sheetName val="CASH Mod Sum Monthly Budget"/>
      <sheetName val="CASH Detail Monthly Budget "/>
      <sheetName val="Non Detail Tabs"/>
      <sheetName val="Non Detail Exp Entry"/>
      <sheetName val="Bal Sheet Tabs"/>
      <sheetName val="CapEx"/>
      <sheetName val="Loans (Made)-Collected"/>
      <sheetName val="Debt (Reduct) -Increase"/>
      <sheetName val="PropFeed"/>
      <sheetName val="Prop Distribution"/>
      <sheetName val="R Cash RESTRICTION Non FR "/>
      <sheetName val="R Cash RELEASE Non FR"/>
      <sheetName val="RSGrantWS"/>
      <sheetName val="CASH RS Carryover 2011"/>
      <sheetName val="CASH RS Carryover 2012"/>
      <sheetName val="R Cash Release Reg FR"/>
      <sheetName val="Other Bal Sheet Items"/>
      <sheetName val="Revenue Tabs"/>
      <sheetName val="Philanthropy Tabs"/>
      <sheetName val="Indiv Annual"/>
      <sheetName val="CASH Indiv Annual"/>
      <sheetName val="Corp Annual"/>
      <sheetName val="CASH Corp Annual"/>
      <sheetName val="Fdn Annual"/>
      <sheetName val="CASH Fdn Annual"/>
      <sheetName val="Congr Othr Annual"/>
      <sheetName val="CASH Congr Othr Annual"/>
      <sheetName val="MHI NDO PT Donation"/>
      <sheetName val="CASH MHI NDO PT Donation"/>
      <sheetName val="RS Indiv Annual"/>
      <sheetName val="RS CASH Indiv Annual"/>
      <sheetName val="RS Corp Annual"/>
      <sheetName val="RS CASH Corp Annual"/>
      <sheetName val="RS Fdn Annual"/>
      <sheetName val="RS CASH Fdn Annual"/>
      <sheetName val="RS Congr Othr Annual"/>
      <sheetName val="RS CASH Congr Othr Annual"/>
      <sheetName val="RS MHI NDO PT Donation"/>
      <sheetName val="RS CASH MHI NDO PT Donation"/>
      <sheetName val="RSPropPASS THRU"/>
      <sheetName val="SHCP Rev"/>
      <sheetName val="CASH SHCP Rev"/>
      <sheetName val="ServInKind"/>
      <sheetName val="Govt Grants Tabs"/>
      <sheetName val="RS Public Sources Annual"/>
      <sheetName val="RS CASH Public Sources Annual"/>
      <sheetName val="Govt Grants PT to Props"/>
      <sheetName val="Capital Grants Tabs"/>
      <sheetName val="Public Sources Cap Prop"/>
      <sheetName val="CASH Public Sources Cap Prop"/>
      <sheetName val="Fdn&amp;OtherGrantsCapProp"/>
      <sheetName val="CASH Fdn&amp;OtherGrantsCapProp"/>
      <sheetName val="GrantsCapPropPASS THRU"/>
      <sheetName val="Other Contrib &amp; Gifts"/>
      <sheetName val="CASH Other Contrib &amp; Gifts"/>
      <sheetName val="DeveloperFeeRev"/>
      <sheetName val="CASH DeveloperFeeRev"/>
      <sheetName val="DevFee-Deferred"/>
      <sheetName val="CASH DevFee Deferred Rec"/>
      <sheetName val="ProjDevFee "/>
      <sheetName val="CASH ProjDevFee "/>
      <sheetName val="Mgmt"/>
      <sheetName val="AcctBkkpg&amp;Data"/>
      <sheetName val="ConsultFeesForServ"/>
      <sheetName val="CASH ConsultFeesForServ"/>
      <sheetName val="ConsultReimExp"/>
      <sheetName val="CASH ConsultReimExp"/>
      <sheetName val="GrantAdminFee"/>
      <sheetName val="CASH GrantAdminFee"/>
      <sheetName val="NSP PropGrant"/>
      <sheetName val="CASH NSP PropGrant"/>
      <sheetName val="NSP PropGrant PassThru"/>
      <sheetName val="IntNotesRecINCOME"/>
      <sheetName val="IntNotes"/>
      <sheetName val="CASH IntNotes"/>
      <sheetName val="IntMisc"/>
      <sheetName val="AssetMgmtFees"/>
      <sheetName val="CASH AssetMgmtFees"/>
      <sheetName val="InsurAdminRev"/>
      <sheetName val="CASH InsurAdminRev"/>
      <sheetName val="ResServK Rev"/>
      <sheetName val="LoanOriginFees"/>
      <sheetName val="LoanServFees"/>
      <sheetName val="LandBldgProceeds"/>
      <sheetName val="LandBldgCOS"/>
      <sheetName val="LandBldgSellCosts"/>
      <sheetName val="CASH LandBldgProceeds"/>
      <sheetName val="CASH LandBldgCOS"/>
      <sheetName val="CASH LandBldgSellCosts"/>
      <sheetName val="RefinFees"/>
      <sheetName val="CASH RefinFees"/>
      <sheetName val="MiscRev"/>
      <sheetName val="CASH MiscRev"/>
      <sheetName val="Expense Tabs"/>
      <sheetName val="ContractLabor"/>
      <sheetName val="ConvMtgs"/>
      <sheetName val="Events"/>
      <sheetName val="EquipPurch"/>
      <sheetName val="TravelAirTrans"/>
      <sheetName val="TravelRentalCars"/>
      <sheetName val="TravelMilePkgToll"/>
      <sheetName val="TravelLodging"/>
      <sheetName val="TravelBusMeals"/>
      <sheetName val="StaffDevTrng"/>
      <sheetName val="Fundraising"/>
      <sheetName val="GrantsContrExp"/>
      <sheetName val="Consultants"/>
      <sheetName val="Legal"/>
      <sheetName val="OthrProfFees"/>
      <sheetName val="RentExp"/>
      <sheetName val="CASHRentExp"/>
      <sheetName val="Depr"/>
      <sheetName val="ReserveLoanLoss"/>
      <sheetName val="Bad Debt"/>
      <sheetName val="IntExp"/>
      <sheetName val="CASHIntExp"/>
      <sheetName val="IntExpRelend"/>
      <sheetName val="CASHIntExpRelend"/>
      <sheetName val="Transformation-Other"/>
      <sheetName val="CASH Transformation-Other"/>
      <sheetName val="FTE"/>
      <sheetName val="Other Tabs"/>
      <sheetName val="Annual Vlookup"/>
      <sheetName val="Budget 2011"/>
      <sheetName val="CSV"/>
      <sheetName val="DropDownMenu"/>
      <sheetName val="2012 MHL 6124 Multifamily v00"/>
    </sheetNames>
    <sheetDataSet>
      <sheetData sheetId="0"/>
      <sheetData sheetId="1"/>
      <sheetData sheetId="2">
        <row r="1">
          <cell r="A1" t="str">
            <v>MHL Multifamily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3">
          <cell r="C3" t="str">
            <v>New Construction</v>
          </cell>
          <cell r="E3" t="str">
            <v>Prospect</v>
          </cell>
        </row>
        <row r="4">
          <cell r="C4" t="str">
            <v>Acquisition / Rehab</v>
          </cell>
          <cell r="E4" t="str">
            <v>Feasibility</v>
          </cell>
        </row>
        <row r="5">
          <cell r="C5" t="str">
            <v>Refi / Rehab</v>
          </cell>
          <cell r="E5" t="str">
            <v>Development</v>
          </cell>
        </row>
        <row r="6">
          <cell r="C6" t="str">
            <v>Rehab</v>
          </cell>
          <cell r="E6" t="str">
            <v>Construction</v>
          </cell>
        </row>
        <row r="7">
          <cell r="C7" t="str">
            <v>Adaptive Rehab</v>
          </cell>
          <cell r="E7" t="str">
            <v>Operations-Sub Phase Lease Up</v>
          </cell>
        </row>
        <row r="8">
          <cell r="E8" t="str">
            <v>Operations-Sub Phase Close Out</v>
          </cell>
        </row>
      </sheetData>
      <sheetData sheetId="1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nver"/>
    </sheetNames>
    <sheetDataSet>
      <sheetData sheetId="0">
        <row r="4">
          <cell r="E4" t="str">
            <v>ACCOUNTS PAYABLE</v>
          </cell>
        </row>
        <row r="5">
          <cell r="E5" t="str">
            <v>BATCH ENTRY FORM</v>
          </cell>
        </row>
        <row r="8">
          <cell r="A8" t="str">
            <v xml:space="preserve">Company Number:  </v>
          </cell>
          <cell r="C8">
            <v>705</v>
          </cell>
        </row>
        <row r="10">
          <cell r="A10" t="str">
            <v>Company Name:</v>
          </cell>
          <cell r="C10" t="str">
            <v>Harlequin Plaza</v>
          </cell>
        </row>
        <row r="13">
          <cell r="A13" t="str">
            <v>Batch Type:</v>
          </cell>
        </row>
        <row r="14">
          <cell r="E14" t="str">
            <v>Manual/VOID</v>
          </cell>
        </row>
        <row r="15">
          <cell r="A15" t="str">
            <v>Voucher Entry</v>
          </cell>
          <cell r="C15" t="str">
            <v>X</v>
          </cell>
          <cell r="E15" t="str">
            <v>Check Entry</v>
          </cell>
          <cell r="G15" t="str">
            <v xml:space="preserve"> </v>
          </cell>
        </row>
        <row r="18">
          <cell r="A18" t="str">
            <v xml:space="preserve">Number of Documents:  </v>
          </cell>
        </row>
        <row r="20">
          <cell r="A20" t="str">
            <v>Batch Total:</v>
          </cell>
          <cell r="G20" t="str">
            <v>Batched internally</v>
          </cell>
        </row>
        <row r="21">
          <cell r="G21" t="str">
            <v>General Manager's Approval</v>
          </cell>
        </row>
        <row r="23">
          <cell r="A23" t="str">
            <v>Additional Notes:</v>
          </cell>
        </row>
        <row r="31">
          <cell r="E31" t="str">
            <v>FOR ACCOUNTING USE ONLY</v>
          </cell>
        </row>
        <row r="33">
          <cell r="A33" t="str">
            <v>Batch Number: _______________________Batch G/L Date:______________________________</v>
          </cell>
        </row>
        <row r="35">
          <cell r="A35" t="str">
            <v>Entered By:___________Date: __________Approved By:__________________Date: __________</v>
          </cell>
        </row>
        <row r="37">
          <cell r="B37" t="str">
            <v>Voucher</v>
          </cell>
          <cell r="E37" t="str">
            <v>Description of Correction Made</v>
          </cell>
        </row>
        <row r="38">
          <cell r="A38" t="str">
            <v>1.</v>
          </cell>
        </row>
        <row r="39">
          <cell r="A39" t="str">
            <v>2.</v>
          </cell>
        </row>
        <row r="40">
          <cell r="A40" t="str">
            <v>3.</v>
          </cell>
        </row>
        <row r="41">
          <cell r="A41" t="str">
            <v>4.</v>
          </cell>
        </row>
        <row r="42">
          <cell r="A42" t="str">
            <v>6.</v>
          </cell>
        </row>
        <row r="43">
          <cell r="A43" t="str">
            <v>7.</v>
          </cell>
        </row>
        <row r="44">
          <cell r="A44" t="str">
            <v>8.</v>
          </cell>
        </row>
        <row r="45">
          <cell r="A45" t="str">
            <v>9.</v>
          </cell>
        </row>
        <row r="46">
          <cell r="A46" t="str">
            <v>10.</v>
          </cell>
        </row>
        <row r="47">
          <cell r="E47" t="str">
            <v>If additional corrections are necessary, attach a separate page.</v>
          </cell>
        </row>
        <row r="49">
          <cell r="A49" t="str">
            <v>Corrected By:______________Date: ______ Re-Approved BY:_________________Date:_______</v>
          </cell>
        </row>
        <row r="51">
          <cell r="A51" t="str">
            <v>Batch Posted By:  ______________________________Date:______________________________</v>
          </cell>
        </row>
        <row r="58">
          <cell r="E58" t="str">
            <v>ACCOUNTS PAYABLE</v>
          </cell>
        </row>
        <row r="59">
          <cell r="E59" t="str">
            <v>BATCH ENTRY FORM</v>
          </cell>
        </row>
        <row r="62">
          <cell r="A62" t="str">
            <v xml:space="preserve">Company Number:  </v>
          </cell>
          <cell r="C62">
            <v>706</v>
          </cell>
        </row>
        <row r="64">
          <cell r="A64" t="str">
            <v>Company Name:</v>
          </cell>
          <cell r="C64" t="str">
            <v>Quebec Court I</v>
          </cell>
        </row>
        <row r="65">
          <cell r="C65" t="str">
            <v>.</v>
          </cell>
        </row>
        <row r="67">
          <cell r="A67" t="str">
            <v>Batch Type:</v>
          </cell>
        </row>
        <row r="68">
          <cell r="E68" t="str">
            <v>Manual/VOID</v>
          </cell>
        </row>
        <row r="69">
          <cell r="A69" t="str">
            <v>Voucher Entry</v>
          </cell>
          <cell r="C69" t="str">
            <v>X</v>
          </cell>
          <cell r="E69" t="str">
            <v>Check Entry</v>
          </cell>
          <cell r="G69" t="str">
            <v xml:space="preserve"> </v>
          </cell>
        </row>
        <row r="72">
          <cell r="A72" t="str">
            <v xml:space="preserve">Number of Documents:  </v>
          </cell>
        </row>
        <row r="74">
          <cell r="A74" t="str">
            <v>Batch Total:</v>
          </cell>
          <cell r="G74" t="str">
            <v>Batched internally</v>
          </cell>
        </row>
        <row r="75">
          <cell r="G75" t="str">
            <v>General Manager's Approval</v>
          </cell>
        </row>
        <row r="77">
          <cell r="A77" t="str">
            <v>Additional Notes:</v>
          </cell>
        </row>
        <row r="85">
          <cell r="E85" t="str">
            <v>FOR ACCOUNTING USE ONLY</v>
          </cell>
        </row>
        <row r="87">
          <cell r="A87" t="str">
            <v>Batch Number: _______________________Batch G/L Date:______________________________</v>
          </cell>
        </row>
        <row r="89">
          <cell r="A89" t="str">
            <v>Entered By:___________Date: __________Approved By:__________________Date: __________</v>
          </cell>
        </row>
        <row r="91">
          <cell r="B91" t="str">
            <v>Voucher</v>
          </cell>
          <cell r="E91" t="str">
            <v>Description of Correction Made</v>
          </cell>
        </row>
        <row r="92">
          <cell r="A92" t="str">
            <v>1.</v>
          </cell>
        </row>
        <row r="93">
          <cell r="A93" t="str">
            <v>2.</v>
          </cell>
        </row>
        <row r="94">
          <cell r="A94" t="str">
            <v>3.</v>
          </cell>
        </row>
        <row r="95">
          <cell r="A95" t="str">
            <v>4.</v>
          </cell>
        </row>
        <row r="96">
          <cell r="A96" t="str">
            <v>6.</v>
          </cell>
        </row>
        <row r="97">
          <cell r="A97" t="str">
            <v>7.</v>
          </cell>
        </row>
        <row r="98">
          <cell r="A98" t="str">
            <v>8.</v>
          </cell>
        </row>
        <row r="99">
          <cell r="A99" t="str">
            <v>9.</v>
          </cell>
        </row>
        <row r="100">
          <cell r="A100" t="str">
            <v>10.</v>
          </cell>
        </row>
        <row r="101">
          <cell r="E101" t="str">
            <v>If additional corrections are necessary, attach a separate page.</v>
          </cell>
        </row>
        <row r="103">
          <cell r="A103" t="str">
            <v>Corrected By:______________Date: ______ Re-Approved BY:_________________Date:_______</v>
          </cell>
        </row>
        <row r="105">
          <cell r="A105" t="str">
            <v>Batch Posted By:  ______________________________Date:______________________________</v>
          </cell>
        </row>
        <row r="112">
          <cell r="E112" t="str">
            <v>ACCOUNTS PAYABLE</v>
          </cell>
        </row>
        <row r="113">
          <cell r="E113" t="str">
            <v>BATCH ENTRY FORM</v>
          </cell>
        </row>
        <row r="116">
          <cell r="A116" t="str">
            <v xml:space="preserve">Company Number:  </v>
          </cell>
          <cell r="C116">
            <v>707</v>
          </cell>
        </row>
        <row r="118">
          <cell r="A118" t="str">
            <v>Company Name:</v>
          </cell>
          <cell r="C118" t="str">
            <v>Quebec Court II</v>
          </cell>
        </row>
        <row r="121">
          <cell r="A121" t="str">
            <v>Batch Type:</v>
          </cell>
        </row>
        <row r="122">
          <cell r="E122" t="str">
            <v>Manual/VOID</v>
          </cell>
        </row>
        <row r="123">
          <cell r="A123" t="str">
            <v>Voucher Entry</v>
          </cell>
          <cell r="C123" t="str">
            <v>X</v>
          </cell>
          <cell r="E123" t="str">
            <v>Check Entry</v>
          </cell>
          <cell r="G123" t="str">
            <v xml:space="preserve"> </v>
          </cell>
        </row>
        <row r="126">
          <cell r="A126" t="str">
            <v xml:space="preserve">Number of Documents:  </v>
          </cell>
        </row>
        <row r="128">
          <cell r="A128" t="str">
            <v>Batch Total:</v>
          </cell>
          <cell r="G128" t="str">
            <v>Batched internally</v>
          </cell>
        </row>
        <row r="129">
          <cell r="G129" t="str">
            <v>General Manager's Approval</v>
          </cell>
        </row>
        <row r="131">
          <cell r="A131" t="str">
            <v>Additional Notes:</v>
          </cell>
        </row>
        <row r="139">
          <cell r="E139" t="str">
            <v>FOR ACCOUNTING USE ONLY</v>
          </cell>
        </row>
        <row r="141">
          <cell r="A141" t="str">
            <v>Batch Number: _______________________Batch G/L Date:______________________________</v>
          </cell>
        </row>
        <row r="143">
          <cell r="A143" t="str">
            <v>Entered By:___________Date: __________Approved By:__________________Date: __________</v>
          </cell>
        </row>
        <row r="145">
          <cell r="B145" t="str">
            <v>Voucher</v>
          </cell>
          <cell r="E145" t="str">
            <v>Description of Correction Made</v>
          </cell>
        </row>
        <row r="146">
          <cell r="A146" t="str">
            <v>1.</v>
          </cell>
        </row>
        <row r="147">
          <cell r="A147" t="str">
            <v>2.</v>
          </cell>
        </row>
        <row r="148">
          <cell r="A148" t="str">
            <v>3.</v>
          </cell>
        </row>
        <row r="149">
          <cell r="A149" t="str">
            <v>4.</v>
          </cell>
        </row>
        <row r="150">
          <cell r="A150" t="str">
            <v>6.</v>
          </cell>
        </row>
        <row r="151">
          <cell r="A151" t="str">
            <v>7.</v>
          </cell>
        </row>
        <row r="152">
          <cell r="A152" t="str">
            <v>8.</v>
          </cell>
        </row>
        <row r="153">
          <cell r="A153" t="str">
            <v>9.</v>
          </cell>
        </row>
        <row r="154">
          <cell r="A154" t="str">
            <v>10.</v>
          </cell>
        </row>
        <row r="155">
          <cell r="E155" t="str">
            <v>If additional corrections are necessary, attach a separate page.</v>
          </cell>
        </row>
        <row r="157">
          <cell r="A157" t="str">
            <v>Corrected By:______________Date: ______ Re-Approved BY:_________________Date:_______</v>
          </cell>
        </row>
        <row r="159">
          <cell r="A159" t="str">
            <v>Batch Posted By:  ______________________________Date:______________________________</v>
          </cell>
        </row>
        <row r="167">
          <cell r="E167" t="str">
            <v>ACCOUNTS PAYABLE</v>
          </cell>
        </row>
        <row r="168">
          <cell r="E168" t="str">
            <v>BATCH ENTRY FORM</v>
          </cell>
        </row>
        <row r="171">
          <cell r="A171" t="str">
            <v xml:space="preserve">Company Number:  </v>
          </cell>
          <cell r="C171">
            <v>708</v>
          </cell>
        </row>
        <row r="173">
          <cell r="A173" t="str">
            <v>Company Name:</v>
          </cell>
          <cell r="C173" t="str">
            <v>Quorum</v>
          </cell>
        </row>
        <row r="176">
          <cell r="A176" t="str">
            <v>Batch Type:</v>
          </cell>
        </row>
        <row r="177">
          <cell r="E177" t="str">
            <v>Manual/VOID</v>
          </cell>
        </row>
        <row r="178">
          <cell r="A178" t="str">
            <v>Voucher Entry</v>
          </cell>
          <cell r="C178" t="str">
            <v>X</v>
          </cell>
          <cell r="E178" t="str">
            <v>Check Entry</v>
          </cell>
          <cell r="G178" t="str">
            <v xml:space="preserve"> </v>
          </cell>
        </row>
        <row r="181">
          <cell r="A181" t="str">
            <v xml:space="preserve">Number of Documents:  </v>
          </cell>
        </row>
        <row r="183">
          <cell r="A183" t="str">
            <v>Batch Total:</v>
          </cell>
          <cell r="G183" t="str">
            <v>Batched internally</v>
          </cell>
        </row>
        <row r="184">
          <cell r="G184" t="str">
            <v>General Manager's Approval</v>
          </cell>
        </row>
        <row r="186">
          <cell r="A186" t="str">
            <v>Additional Notes:</v>
          </cell>
        </row>
        <row r="194">
          <cell r="E194" t="str">
            <v>FOR ACCOUNTING USE ONLY</v>
          </cell>
        </row>
        <row r="196">
          <cell r="A196" t="str">
            <v>Batch Number: _______________________Batch G/L Date:______________________________</v>
          </cell>
        </row>
        <row r="198">
          <cell r="A198" t="str">
            <v>Entered By:___________Date: __________Approved By:__________________Date: __________</v>
          </cell>
        </row>
        <row r="200">
          <cell r="B200" t="str">
            <v>Voucher</v>
          </cell>
          <cell r="E200" t="str">
            <v>Description of Correction Made</v>
          </cell>
        </row>
        <row r="201">
          <cell r="A201" t="str">
            <v>1.</v>
          </cell>
        </row>
        <row r="202">
          <cell r="A202" t="str">
            <v>2.</v>
          </cell>
        </row>
        <row r="203">
          <cell r="A203" t="str">
            <v>3.</v>
          </cell>
        </row>
        <row r="204">
          <cell r="A204" t="str">
            <v>4.</v>
          </cell>
        </row>
        <row r="205">
          <cell r="A205" t="str">
            <v>6.</v>
          </cell>
        </row>
        <row r="206">
          <cell r="A206" t="str">
            <v>7.</v>
          </cell>
        </row>
        <row r="207">
          <cell r="A207" t="str">
            <v>8.</v>
          </cell>
        </row>
        <row r="208">
          <cell r="A208" t="str">
            <v>9.</v>
          </cell>
        </row>
        <row r="209">
          <cell r="A209" t="str">
            <v>10.</v>
          </cell>
        </row>
        <row r="210">
          <cell r="E210" t="str">
            <v>If additional corrections are necessary, attach a separate page.</v>
          </cell>
        </row>
        <row r="212">
          <cell r="A212" t="str">
            <v>Corrected By:______________Date: ______ Re-Approved BY:_________________Date:_______</v>
          </cell>
        </row>
        <row r="214">
          <cell r="A214" t="str">
            <v>Batch Posted By:  ______________________________Date:______________________________</v>
          </cell>
        </row>
        <row r="221">
          <cell r="E221" t="str">
            <v>ACCOUNTS PAYABLE</v>
          </cell>
        </row>
        <row r="222">
          <cell r="E222" t="str">
            <v>BATCH ENTRY FORM</v>
          </cell>
        </row>
        <row r="225">
          <cell r="A225" t="str">
            <v xml:space="preserve">Company Number:  </v>
          </cell>
          <cell r="C225">
            <v>716</v>
          </cell>
        </row>
        <row r="227">
          <cell r="A227" t="str">
            <v>Company Name:</v>
          </cell>
          <cell r="C227" t="str">
            <v>Greenwood Center</v>
          </cell>
        </row>
        <row r="230">
          <cell r="A230" t="str">
            <v>Batch Type:</v>
          </cell>
        </row>
        <row r="231">
          <cell r="E231" t="str">
            <v>Manual/VOID</v>
          </cell>
        </row>
        <row r="232">
          <cell r="A232" t="str">
            <v>Voucher Entry</v>
          </cell>
          <cell r="C232" t="str">
            <v>X</v>
          </cell>
          <cell r="E232" t="str">
            <v>Check Entry</v>
          </cell>
          <cell r="G232" t="str">
            <v xml:space="preserve"> </v>
          </cell>
        </row>
        <row r="235">
          <cell r="A235" t="str">
            <v xml:space="preserve">Number of Documents:  </v>
          </cell>
        </row>
        <row r="237">
          <cell r="A237" t="str">
            <v>Batch Total:</v>
          </cell>
          <cell r="G237" t="str">
            <v>Batched internally</v>
          </cell>
        </row>
        <row r="238">
          <cell r="G238" t="str">
            <v>General Manager's Approval</v>
          </cell>
        </row>
        <row r="240">
          <cell r="A240" t="str">
            <v>Additional Notes:</v>
          </cell>
        </row>
        <row r="248">
          <cell r="E248" t="str">
            <v>FOR ACCOUNTING USE ONLY</v>
          </cell>
        </row>
        <row r="250">
          <cell r="A250" t="str">
            <v>Batch Number: _______________________Batch G/L Date:______________________________</v>
          </cell>
        </row>
        <row r="252">
          <cell r="A252" t="str">
            <v>Entered By:___________Date: __________Approved By:__________________Date: __________</v>
          </cell>
        </row>
        <row r="254">
          <cell r="B254" t="str">
            <v>Voucher</v>
          </cell>
          <cell r="E254" t="str">
            <v>Description of Correction Made</v>
          </cell>
        </row>
        <row r="255">
          <cell r="A255" t="str">
            <v>1.</v>
          </cell>
        </row>
        <row r="256">
          <cell r="A256" t="str">
            <v>2.</v>
          </cell>
        </row>
        <row r="257">
          <cell r="A257" t="str">
            <v>3.</v>
          </cell>
        </row>
        <row r="258">
          <cell r="A258" t="str">
            <v>4.</v>
          </cell>
        </row>
        <row r="259">
          <cell r="A259" t="str">
            <v>6.</v>
          </cell>
        </row>
        <row r="260">
          <cell r="A260" t="str">
            <v>7.</v>
          </cell>
        </row>
        <row r="261">
          <cell r="A261" t="str">
            <v>8.</v>
          </cell>
        </row>
        <row r="262">
          <cell r="A262" t="str">
            <v>9.</v>
          </cell>
        </row>
        <row r="263">
          <cell r="A263" t="str">
            <v>10.</v>
          </cell>
        </row>
        <row r="264">
          <cell r="E264" t="str">
            <v>If additional corrections are necessary, attach a separate page.</v>
          </cell>
        </row>
        <row r="266">
          <cell r="A266" t="str">
            <v>Corrected By:______________Date: ______ Re-Approved BY:_________________Date:_______</v>
          </cell>
        </row>
        <row r="268">
          <cell r="A268" t="str">
            <v>Batch Posted By:  ______________________________Date:______________________________</v>
          </cell>
        </row>
        <row r="275">
          <cell r="E275" t="str">
            <v>ACCOUNTS PAYABLE</v>
          </cell>
        </row>
        <row r="276">
          <cell r="E276" t="str">
            <v>BATCH ENTRY FORM</v>
          </cell>
        </row>
        <row r="279">
          <cell r="A279" t="str">
            <v xml:space="preserve">Company Number:  </v>
          </cell>
          <cell r="C279">
            <v>724</v>
          </cell>
        </row>
        <row r="281">
          <cell r="A281" t="str">
            <v>Company Name:</v>
          </cell>
          <cell r="C281" t="str">
            <v>Quebec Center</v>
          </cell>
        </row>
        <row r="284">
          <cell r="A284" t="str">
            <v>Batch Type:</v>
          </cell>
        </row>
        <row r="285">
          <cell r="E285" t="str">
            <v>Manual/VOID</v>
          </cell>
        </row>
        <row r="286">
          <cell r="A286" t="str">
            <v>Voucher Entry</v>
          </cell>
          <cell r="C286" t="str">
            <v>X</v>
          </cell>
          <cell r="E286" t="str">
            <v>Check Entry</v>
          </cell>
          <cell r="G286" t="str">
            <v xml:space="preserve"> </v>
          </cell>
        </row>
        <row r="289">
          <cell r="A289" t="str">
            <v xml:space="preserve">Number of Documents:  </v>
          </cell>
        </row>
        <row r="291">
          <cell r="A291" t="str">
            <v>Batch Total:</v>
          </cell>
          <cell r="G291" t="str">
            <v>Batched internally</v>
          </cell>
        </row>
        <row r="292">
          <cell r="G292" t="str">
            <v>General Manager's Approval</v>
          </cell>
        </row>
        <row r="294">
          <cell r="A294" t="str">
            <v>Additional Notes:</v>
          </cell>
        </row>
        <row r="302">
          <cell r="E302" t="str">
            <v>FOR ACCOUNTING USE ONLY</v>
          </cell>
        </row>
        <row r="304">
          <cell r="A304" t="str">
            <v>Batch Number: _______________________Batch G/L Date:______________________________</v>
          </cell>
        </row>
        <row r="306">
          <cell r="A306" t="str">
            <v>Entered By:___________Date: __________Approved By:__________________Date: __________</v>
          </cell>
        </row>
        <row r="308">
          <cell r="B308" t="str">
            <v>Voucher</v>
          </cell>
          <cell r="E308" t="str">
            <v>Description of Correction Made</v>
          </cell>
        </row>
        <row r="309">
          <cell r="A309" t="str">
            <v>1.</v>
          </cell>
        </row>
        <row r="310">
          <cell r="A310" t="str">
            <v>2.</v>
          </cell>
        </row>
        <row r="311">
          <cell r="A311" t="str">
            <v>3.</v>
          </cell>
        </row>
        <row r="312">
          <cell r="A312" t="str">
            <v>4.</v>
          </cell>
        </row>
        <row r="313">
          <cell r="A313" t="str">
            <v>6.</v>
          </cell>
        </row>
        <row r="314">
          <cell r="A314" t="str">
            <v>7.</v>
          </cell>
        </row>
        <row r="315">
          <cell r="A315" t="str">
            <v>8.</v>
          </cell>
        </row>
        <row r="316">
          <cell r="A316" t="str">
            <v>9.</v>
          </cell>
        </row>
        <row r="317">
          <cell r="A317" t="str">
            <v>10.</v>
          </cell>
        </row>
        <row r="318">
          <cell r="E318" t="str">
            <v>If additional corrections are necessary, attach a separate page.</v>
          </cell>
        </row>
        <row r="320">
          <cell r="A320" t="str">
            <v>Corrected By:______________Date: ______ Re-Approved BY:_________________Date:_______</v>
          </cell>
        </row>
        <row r="322">
          <cell r="A322" t="str">
            <v>Batch Posted By:  ______________________________Date:______________________________</v>
          </cell>
        </row>
        <row r="329">
          <cell r="E329" t="str">
            <v>ACCOUNTS PAYABLE</v>
          </cell>
        </row>
        <row r="330">
          <cell r="E330" t="str">
            <v>BATCH ENTRY FORM</v>
          </cell>
        </row>
        <row r="333">
          <cell r="A333" t="str">
            <v xml:space="preserve">Company Number:  </v>
          </cell>
          <cell r="C333">
            <v>72501</v>
          </cell>
        </row>
        <row r="335">
          <cell r="A335" t="str">
            <v>Company Name:</v>
          </cell>
          <cell r="C335" t="str">
            <v>Panarama</v>
          </cell>
        </row>
        <row r="338">
          <cell r="A338" t="str">
            <v>Batch Type:</v>
          </cell>
        </row>
        <row r="339">
          <cell r="E339" t="str">
            <v>Manual/VOID</v>
          </cell>
        </row>
        <row r="340">
          <cell r="A340" t="str">
            <v>Voucher Entry</v>
          </cell>
          <cell r="C340" t="str">
            <v>X</v>
          </cell>
          <cell r="E340" t="str">
            <v>Check Entry</v>
          </cell>
          <cell r="G340" t="str">
            <v xml:space="preserve"> </v>
          </cell>
        </row>
        <row r="343">
          <cell r="A343" t="str">
            <v xml:space="preserve">Number of Documents:  </v>
          </cell>
        </row>
        <row r="345">
          <cell r="A345" t="str">
            <v>Batch Total:</v>
          </cell>
          <cell r="G345" t="str">
            <v>Batched internally</v>
          </cell>
        </row>
        <row r="346">
          <cell r="G346" t="str">
            <v>General Manager's Approval</v>
          </cell>
        </row>
        <row r="348">
          <cell r="A348" t="str">
            <v>Additional Notes:</v>
          </cell>
        </row>
        <row r="356">
          <cell r="E356" t="str">
            <v>FOR ACCOUNTING USE ONLY</v>
          </cell>
        </row>
        <row r="358">
          <cell r="A358" t="str">
            <v>Batch Number: _______________________Batch G/L Date:______________________________</v>
          </cell>
        </row>
        <row r="360">
          <cell r="A360" t="str">
            <v>Entered By:___________Date: __________Approved By:__________________Date: __________</v>
          </cell>
        </row>
        <row r="362">
          <cell r="B362" t="str">
            <v>Voucher</v>
          </cell>
          <cell r="E362" t="str">
            <v>Description of Correction Made</v>
          </cell>
        </row>
        <row r="363">
          <cell r="A363" t="str">
            <v>1.</v>
          </cell>
        </row>
        <row r="364">
          <cell r="A364" t="str">
            <v>2.</v>
          </cell>
        </row>
        <row r="365">
          <cell r="A365" t="str">
            <v>3.</v>
          </cell>
        </row>
        <row r="366">
          <cell r="A366" t="str">
            <v>4.</v>
          </cell>
        </row>
        <row r="367">
          <cell r="A367" t="str">
            <v>6.</v>
          </cell>
        </row>
        <row r="368">
          <cell r="A368" t="str">
            <v>7.</v>
          </cell>
        </row>
        <row r="369">
          <cell r="A369" t="str">
            <v>8.</v>
          </cell>
        </row>
        <row r="370">
          <cell r="A370" t="str">
            <v>9.</v>
          </cell>
        </row>
        <row r="371">
          <cell r="A371" t="str">
            <v>10.</v>
          </cell>
        </row>
        <row r="372">
          <cell r="E372" t="str">
            <v>If additional corrections are necessary, attach a separate page.</v>
          </cell>
        </row>
        <row r="374">
          <cell r="A374" t="str">
            <v>Corrected By:______________Date: ______ Re-Approved BY:_________________Date:_______</v>
          </cell>
        </row>
        <row r="376">
          <cell r="A376" t="str">
            <v>Batch Posted By:  ______________________________Date:______________________________</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DS WE Oct12"/>
      <sheetName val="Clear_3232"/>
      <sheetName val="Business Unit List"/>
      <sheetName val="CHANGES"/>
    </sheetNames>
    <sheetDataSet>
      <sheetData sheetId="0"/>
      <sheetData sheetId="1"/>
      <sheetData sheetId="2"/>
      <sheetData sheetId="3"/>
      <sheetData sheetId="4">
        <row r="4">
          <cell r="B4" t="str">
            <v>*</v>
          </cell>
        </row>
        <row r="5">
          <cell r="B5" t="str">
            <v>*</v>
          </cell>
        </row>
        <row r="6">
          <cell r="B6" t="str">
            <v>*</v>
          </cell>
        </row>
        <row r="7">
          <cell r="B7" t="str">
            <v>*</v>
          </cell>
        </row>
        <row r="8">
          <cell r="B8" t="str">
            <v>*</v>
          </cell>
        </row>
        <row r="9">
          <cell r="B9" t="str">
            <v>*</v>
          </cell>
        </row>
        <row r="10">
          <cell r="B10" t="str">
            <v>*</v>
          </cell>
        </row>
        <row r="11">
          <cell r="B11" t="str">
            <v>*</v>
          </cell>
        </row>
        <row r="12">
          <cell r="B12" t="str">
            <v>*</v>
          </cell>
        </row>
        <row r="13">
          <cell r="B13" t="str">
            <v>*</v>
          </cell>
        </row>
        <row r="14">
          <cell r="B14" t="str">
            <v>*</v>
          </cell>
        </row>
        <row r="15">
          <cell r="B15" t="str">
            <v>*</v>
          </cell>
        </row>
        <row r="16">
          <cell r="B16" t="str">
            <v>*</v>
          </cell>
        </row>
        <row r="17">
          <cell r="B17" t="str">
            <v>*</v>
          </cell>
        </row>
        <row r="18">
          <cell r="B18" t="str">
            <v>*</v>
          </cell>
        </row>
        <row r="19">
          <cell r="B19" t="str">
            <v>*</v>
          </cell>
        </row>
        <row r="20">
          <cell r="B20" t="str">
            <v>*</v>
          </cell>
        </row>
        <row r="21">
          <cell r="B21" t="str">
            <v>*</v>
          </cell>
        </row>
        <row r="22">
          <cell r="B22" t="str">
            <v>*</v>
          </cell>
        </row>
        <row r="23">
          <cell r="B23" t="str">
            <v>*</v>
          </cell>
        </row>
        <row r="24">
          <cell r="B24" t="str">
            <v>*</v>
          </cell>
        </row>
        <row r="25">
          <cell r="B25" t="str">
            <v>*</v>
          </cell>
        </row>
        <row r="26">
          <cell r="B26" t="str">
            <v>*</v>
          </cell>
        </row>
        <row r="27">
          <cell r="B27" t="str">
            <v>*</v>
          </cell>
        </row>
        <row r="28">
          <cell r="B28" t="str">
            <v>*</v>
          </cell>
        </row>
        <row r="29">
          <cell r="B29" t="str">
            <v>*</v>
          </cell>
        </row>
        <row r="30">
          <cell r="B30" t="str">
            <v>*</v>
          </cell>
        </row>
        <row r="31">
          <cell r="B31" t="str">
            <v>*</v>
          </cell>
        </row>
        <row r="32">
          <cell r="B32" t="str">
            <v>*</v>
          </cell>
        </row>
        <row r="33">
          <cell r="B33" t="str">
            <v>*</v>
          </cell>
        </row>
        <row r="34">
          <cell r="B34" t="str">
            <v>*</v>
          </cell>
        </row>
        <row r="35">
          <cell r="B35" t="str">
            <v>*</v>
          </cell>
        </row>
        <row r="36">
          <cell r="B36" t="str">
            <v>*</v>
          </cell>
        </row>
        <row r="37">
          <cell r="B37" t="str">
            <v>*</v>
          </cell>
        </row>
        <row r="38">
          <cell r="B38" t="str">
            <v>*</v>
          </cell>
        </row>
        <row r="39">
          <cell r="B39" t="str">
            <v>*</v>
          </cell>
        </row>
        <row r="40">
          <cell r="B40" t="str">
            <v>*</v>
          </cell>
        </row>
        <row r="41">
          <cell r="B41" t="str">
            <v>*</v>
          </cell>
        </row>
        <row r="42">
          <cell r="B42" t="str">
            <v>*</v>
          </cell>
        </row>
        <row r="43">
          <cell r="B43" t="str">
            <v>*</v>
          </cell>
        </row>
        <row r="44">
          <cell r="B44" t="str">
            <v>*</v>
          </cell>
        </row>
        <row r="45">
          <cell r="B45" t="str">
            <v>*</v>
          </cell>
        </row>
        <row r="46">
          <cell r="B46" t="str">
            <v>*</v>
          </cell>
        </row>
        <row r="47">
          <cell r="B47" t="str">
            <v>*</v>
          </cell>
        </row>
        <row r="48">
          <cell r="B48" t="str">
            <v>*</v>
          </cell>
        </row>
        <row r="49">
          <cell r="B49" t="str">
            <v>*</v>
          </cell>
        </row>
        <row r="50">
          <cell r="B50" t="str">
            <v>*</v>
          </cell>
        </row>
        <row r="51">
          <cell r="B51" t="str">
            <v>*</v>
          </cell>
        </row>
        <row r="52">
          <cell r="B52" t="str">
            <v>*</v>
          </cell>
        </row>
        <row r="53">
          <cell r="B53" t="str">
            <v>*</v>
          </cell>
        </row>
        <row r="54">
          <cell r="B54" t="str">
            <v>*</v>
          </cell>
        </row>
        <row r="55">
          <cell r="B55" t="str">
            <v>*</v>
          </cell>
        </row>
        <row r="56">
          <cell r="B56" t="str">
            <v>*</v>
          </cell>
        </row>
        <row r="57">
          <cell r="B57" t="str">
            <v>*</v>
          </cell>
        </row>
        <row r="58">
          <cell r="B58" t="str">
            <v>*</v>
          </cell>
        </row>
        <row r="59">
          <cell r="B59" t="str">
            <v>*</v>
          </cell>
        </row>
        <row r="60">
          <cell r="B60" t="str">
            <v>*</v>
          </cell>
        </row>
        <row r="61">
          <cell r="B61" t="str">
            <v>*</v>
          </cell>
        </row>
        <row r="62">
          <cell r="B62" t="str">
            <v>*</v>
          </cell>
        </row>
        <row r="63">
          <cell r="B63" t="str">
            <v>*</v>
          </cell>
        </row>
        <row r="64">
          <cell r="B64" t="str">
            <v>*</v>
          </cell>
        </row>
        <row r="65">
          <cell r="B65" t="str">
            <v>*</v>
          </cell>
        </row>
        <row r="66">
          <cell r="B66" t="str">
            <v>*</v>
          </cell>
        </row>
        <row r="67">
          <cell r="B67" t="str">
            <v>*</v>
          </cell>
        </row>
        <row r="68">
          <cell r="B68" t="str">
            <v>*</v>
          </cell>
        </row>
        <row r="69">
          <cell r="B69" t="str">
            <v>*</v>
          </cell>
        </row>
        <row r="70">
          <cell r="B70" t="str">
            <v>*</v>
          </cell>
        </row>
        <row r="71">
          <cell r="B71" t="str">
            <v>*</v>
          </cell>
        </row>
        <row r="72">
          <cell r="B72" t="str">
            <v>*</v>
          </cell>
        </row>
        <row r="78">
          <cell r="B78"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ow r="4">
          <cell r="E4">
            <v>10.766666669999999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Cover"/>
      <sheetName val="Unit Recon"/>
      <sheetName val="Detail Unit Recon"/>
      <sheetName val="Property Classification"/>
      <sheetName val="Score Card"/>
      <sheetName val="Portfolio Profile"/>
      <sheetName val="NOI NI CF"/>
      <sheetName val="Underfunded RR Dec Prop"/>
      <sheetName val="Underfunded RR June Prop"/>
      <sheetName val="Negative NOI"/>
      <sheetName val="UnFunded Cap Exp Dec Prop"/>
      <sheetName val="UnFunded Cap Exp June Prop"/>
      <sheetName val="Neg Op Cash Flow"/>
      <sheetName val="AP Growth GT 10%"/>
      <sheetName val="Year-Over-Year Reduction in NOI"/>
      <sheetName val="Year-Over-Year Reduction in Rev"/>
      <sheetName val="10% Unfav vs Bud Dec Props"/>
      <sheetName val="10% Unfav vs Bud June Props"/>
      <sheetName val="Cash Flow Summary"/>
      <sheetName val="Balance Sheet Summary - June 03"/>
      <sheetName val="Balance Sheet Summary"/>
      <sheetName val="Balance Sheet Change"/>
      <sheetName val="Income Statement Summary"/>
      <sheetName val="AR Aging and Trends"/>
      <sheetName val="MHI-MSC-3rd Party Payable Sum"/>
      <sheetName val="AP Trending Summary"/>
      <sheetName val="Period-to-date NOI Changes"/>
      <sheetName val="CRI Expense Summary"/>
      <sheetName val="Salary Expense Summary"/>
      <sheetName val="RR and OR Summary"/>
      <sheetName val="Bad Debt Summary"/>
      <sheetName val="DSCR Summary"/>
      <sheetName val="Vacancy Summary"/>
      <sheetName val="Unit Turnover Summary"/>
      <sheetName val="Late Recerts Summary"/>
      <sheetName val="Summary of LP Neg Equity"/>
      <sheetName val="Dec MEC Calendar"/>
      <sheetName val="Cash Flow Detail"/>
      <sheetName val="Income Statement Detail"/>
      <sheetName val="Balance Sheet Detail"/>
      <sheetName val="Resident Rec Detail"/>
      <sheetName val="Subsidy Rec Detail"/>
      <sheetName val="Resident Rec Trending"/>
      <sheetName val="Subsidy Rec Trending"/>
      <sheetName val="Payable to MHI Detail"/>
      <sheetName val="Payable to MSC Detail"/>
      <sheetName val="Payable to 3rd Party Vendors"/>
      <sheetName val="AP Trending MHI"/>
      <sheetName val="AP Trending MSC"/>
      <sheetName val="AP Trending 3rd Party"/>
      <sheetName val="NOI Act vs Bud Detl - June Prop"/>
      <sheetName val="NOI Act vs Bud Detl - Dec Props"/>
      <sheetName val="NOI Versis Last Year Dtl"/>
      <sheetName val="Payroll Versus Last Year Dtl."/>
      <sheetName val="Payroll vs Budget - Dec Props"/>
      <sheetName val="Payroll vs Budget - June Props"/>
      <sheetName val="CRI versus Last Year"/>
      <sheetName val="CRI versus Budget - Dec Props"/>
      <sheetName val="CRI versus Budget - June Props"/>
      <sheetName val="Bad Debt Detail"/>
      <sheetName val="DSCR Detail"/>
      <sheetName val="Vacancy Detail Rentable Units"/>
      <sheetName val="Vacancy Detail All Units"/>
      <sheetName val="Unit Turnover Detail"/>
      <sheetName val="June RR Detail"/>
      <sheetName val="December RR Detail"/>
      <sheetName val="RR Withdraw vs Spending Dec"/>
      <sheetName val="RR Withdraw vs Spending Jun"/>
      <sheetName val="Construction Cost Cert Status"/>
      <sheetName val="June 30 Cash Flow GT 10%"/>
      <sheetName val="June 30 Cash Flow Variances"/>
      <sheetName val="Dashboard"/>
    </sheetNames>
    <sheetDataSet>
      <sheetData sheetId="0" refreshError="1">
        <row r="7">
          <cell r="C7" t="str">
            <v>July Through November, 2004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PRO FORMA"/>
      <sheetName val="EXEC"/>
      <sheetName val="LEASEASSUMPT"/>
      <sheetName val="INC"/>
      <sheetName val="OPEX"/>
      <sheetName val="PR"/>
      <sheetName val="UTIL"/>
      <sheetName val="EXP"/>
      <sheetName val="DEPREC"/>
      <sheetName val="CAPEXP"/>
      <sheetName val="COMMISASMPT"/>
      <sheetName val="CARRCOMM"/>
      <sheetName val="OUTSIDECOMM"/>
      <sheetName val="TI"/>
      <sheetName val="CASHALLOW"/>
      <sheetName val="DEFERREDCOSTS"/>
      <sheetName val="CONCESSIONSUMMARY"/>
      <sheetName val="RangeNames"/>
    </sheetNames>
    <sheetDataSet>
      <sheetData sheetId="0">
        <row r="16">
          <cell r="B16">
            <v>44171</v>
          </cell>
        </row>
        <row r="18">
          <cell r="B18">
            <v>0</v>
          </cell>
        </row>
        <row r="23">
          <cell r="B23">
            <v>0</v>
          </cell>
        </row>
        <row r="25">
          <cell r="B25">
            <v>0</v>
          </cell>
        </row>
      </sheetData>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onal Budget 2015-2019"/>
      <sheetName val="2017 Debt Recap"/>
      <sheetName val="Dept 002 Dev"/>
      <sheetName val="Dept 004 Assets"/>
      <sheetName val="Dept 005 Mgmt"/>
      <sheetName val="RNN 2016 Travel"/>
      <sheetName val="RNN 2015 Travel"/>
      <sheetName val="RNN 2017 Travel"/>
      <sheetName val="Revenue"/>
      <sheetName val="2016-2015 Debt"/>
      <sheetName val="2180-XXXX"/>
    </sheetNames>
    <sheetDataSet>
      <sheetData sheetId="0"/>
      <sheetData sheetId="1"/>
      <sheetData sheetId="2">
        <row r="15">
          <cell r="E15">
            <v>340834.2</v>
          </cell>
          <cell r="G15">
            <v>294269.49</v>
          </cell>
          <cell r="K15">
            <v>304266.66000000003</v>
          </cell>
        </row>
        <row r="23">
          <cell r="E23">
            <v>116005.68</v>
          </cell>
          <cell r="G23">
            <v>60320.78</v>
          </cell>
          <cell r="K23">
            <v>75596.427694999991</v>
          </cell>
        </row>
        <row r="26">
          <cell r="K26">
            <v>21879.416470588236</v>
          </cell>
        </row>
        <row r="27">
          <cell r="K27">
            <v>533.64705882352939</v>
          </cell>
        </row>
        <row r="28">
          <cell r="K28">
            <v>12750</v>
          </cell>
        </row>
        <row r="29">
          <cell r="K29">
            <v>401.77</v>
          </cell>
        </row>
        <row r="30">
          <cell r="K30">
            <v>154.03764705882352</v>
          </cell>
        </row>
        <row r="31">
          <cell r="K31">
            <v>7247.3505882352947</v>
          </cell>
        </row>
        <row r="32">
          <cell r="K32">
            <v>69.458823529411774</v>
          </cell>
        </row>
        <row r="34">
          <cell r="K34">
            <v>100000</v>
          </cell>
        </row>
      </sheetData>
      <sheetData sheetId="3">
        <row r="14">
          <cell r="E14">
            <v>481296.42000000004</v>
          </cell>
          <cell r="G14">
            <v>412396.99000000005</v>
          </cell>
          <cell r="K14">
            <v>594387.15</v>
          </cell>
        </row>
        <row r="25">
          <cell r="E25">
            <v>231785.90999999997</v>
          </cell>
          <cell r="G25">
            <v>208658.19</v>
          </cell>
          <cell r="K25">
            <v>182755.03916499999</v>
          </cell>
        </row>
        <row r="29">
          <cell r="K29">
            <v>65718.677647058823</v>
          </cell>
        </row>
        <row r="31">
          <cell r="K31">
            <v>1405.8070588235294</v>
          </cell>
        </row>
        <row r="33">
          <cell r="K33">
            <v>30</v>
          </cell>
        </row>
        <row r="34">
          <cell r="K34">
            <v>267.27529411764704</v>
          </cell>
        </row>
        <row r="36">
          <cell r="K36">
            <v>306.70588235294116</v>
          </cell>
        </row>
        <row r="38">
          <cell r="K38">
            <v>50735.251764705885</v>
          </cell>
        </row>
      </sheetData>
      <sheetData sheetId="4">
        <row r="13">
          <cell r="E13">
            <v>388495.04999999993</v>
          </cell>
          <cell r="G13">
            <v>324014.87</v>
          </cell>
          <cell r="K13">
            <v>495944.1</v>
          </cell>
        </row>
        <row r="24">
          <cell r="E24">
            <v>148686.41</v>
          </cell>
          <cell r="G24">
            <v>142863.53</v>
          </cell>
          <cell r="K24">
            <v>142689.204195</v>
          </cell>
        </row>
        <row r="26">
          <cell r="K26">
            <v>230.52705882352942</v>
          </cell>
        </row>
        <row r="27">
          <cell r="K27">
            <v>40353.924705882353</v>
          </cell>
        </row>
        <row r="29">
          <cell r="K29">
            <v>210.35294117647061</v>
          </cell>
        </row>
        <row r="30">
          <cell r="K30">
            <v>487.90588235294126</v>
          </cell>
        </row>
        <row r="32">
          <cell r="K32">
            <v>1913.4635294117645</v>
          </cell>
        </row>
        <row r="33">
          <cell r="K33">
            <v>199.73647058823531</v>
          </cell>
        </row>
        <row r="35">
          <cell r="K35">
            <v>1129.4117647058824</v>
          </cell>
        </row>
        <row r="36">
          <cell r="K36">
            <v>99.176470588235304</v>
          </cell>
        </row>
        <row r="37">
          <cell r="K37">
            <v>782.9082352941175</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H22"/>
  <sheetViews>
    <sheetView workbookViewId="0">
      <selection activeCell="M13" sqref="M13"/>
    </sheetView>
  </sheetViews>
  <sheetFormatPr baseColWidth="10" defaultColWidth="8.83203125" defaultRowHeight="15"/>
  <cols>
    <col min="2" max="2" width="10.5" customWidth="1"/>
  </cols>
  <sheetData>
    <row r="2" spans="1:8" s="2" customFormat="1"/>
    <row r="3" spans="1:8" s="2" customFormat="1"/>
    <row r="4" spans="1:8" s="2" customFormat="1"/>
    <row r="5" spans="1:8" s="2" customFormat="1"/>
    <row r="6" spans="1:8" s="2" customFormat="1"/>
    <row r="7" spans="1:8" s="2" customFormat="1">
      <c r="A7" s="9"/>
      <c r="B7" s="9"/>
      <c r="C7" s="9"/>
      <c r="D7" s="9"/>
      <c r="E7" s="9"/>
      <c r="F7" s="9"/>
      <c r="G7" s="9"/>
      <c r="H7" s="9"/>
    </row>
    <row r="9" spans="1:8" s="2" customFormat="1"/>
    <row r="10" spans="1:8" s="2" customFormat="1"/>
    <row r="11" spans="1:8" s="2" customFormat="1"/>
    <row r="12" spans="1:8" s="2" customFormat="1"/>
    <row r="14" spans="1:8" s="2" customFormat="1"/>
    <row r="15" spans="1:8" s="2" customFormat="1"/>
    <row r="17" spans="1:8" ht="31">
      <c r="B17" s="748" t="s">
        <v>807</v>
      </c>
      <c r="C17" s="748"/>
      <c r="D17" s="748"/>
      <c r="E17" s="748"/>
      <c r="F17" s="748"/>
      <c r="G17" s="748"/>
    </row>
    <row r="19" spans="1:8" ht="26">
      <c r="B19" s="749" t="s">
        <v>76</v>
      </c>
      <c r="C19" s="749"/>
      <c r="D19" s="749"/>
      <c r="E19" s="749"/>
      <c r="F19" s="749"/>
      <c r="G19" s="749"/>
    </row>
    <row r="22" spans="1:8">
      <c r="A22" s="9"/>
      <c r="B22" s="9"/>
      <c r="C22" s="9"/>
      <c r="D22" s="9"/>
      <c r="E22" s="9"/>
      <c r="F22" s="9"/>
      <c r="G22" s="9"/>
      <c r="H22" s="9"/>
    </row>
  </sheetData>
  <mergeCells count="2">
    <mergeCell ref="B17:G17"/>
    <mergeCell ref="B19:G19"/>
  </mergeCells>
  <printOptions horizontalCentered="1"/>
  <pageMargins left="0.2" right="0.2" top="0.5" bottom="0.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K88"/>
  <sheetViews>
    <sheetView workbookViewId="0">
      <pane xSplit="1" ySplit="3" topLeftCell="B4" activePane="bottomRight" state="frozen"/>
      <selection activeCell="D21" sqref="D21:D22"/>
      <selection pane="topRight" activeCell="D21" sqref="D21:D22"/>
      <selection pane="bottomLeft" activeCell="D21" sqref="D21:D22"/>
      <selection pane="bottomRight" activeCell="C3" sqref="C3"/>
    </sheetView>
  </sheetViews>
  <sheetFormatPr baseColWidth="10" defaultColWidth="9.1640625" defaultRowHeight="15"/>
  <cols>
    <col min="1" max="1" width="54.5" style="2" customWidth="1"/>
    <col min="2" max="2" width="11.5" style="2" customWidth="1"/>
    <col min="3" max="4" width="12.33203125" style="2" customWidth="1"/>
    <col min="5" max="5" width="11.33203125" style="2" customWidth="1"/>
    <col min="6" max="6" width="12.33203125" style="2" customWidth="1"/>
    <col min="7" max="7" width="17" style="2" customWidth="1"/>
    <col min="8" max="10" width="12.33203125" style="2" customWidth="1"/>
    <col min="11" max="11" width="11.5" style="2" customWidth="1"/>
    <col min="12" max="12" width="11.6640625" style="2" customWidth="1"/>
    <col min="13" max="16384" width="9.1640625" style="2"/>
  </cols>
  <sheetData>
    <row r="1" spans="1:11" ht="20" thickBot="1">
      <c r="A1" s="764" t="s">
        <v>59</v>
      </c>
      <c r="B1" s="765"/>
      <c r="C1" s="765"/>
      <c r="D1" s="765"/>
      <c r="E1" s="765"/>
      <c r="F1" s="765"/>
      <c r="G1" s="765"/>
      <c r="H1" s="765"/>
      <c r="I1" s="765"/>
      <c r="J1" s="765"/>
      <c r="K1" s="765"/>
    </row>
    <row r="2" spans="1:11" ht="20" thickBot="1">
      <c r="A2" s="3"/>
      <c r="B2" s="766" t="s">
        <v>135</v>
      </c>
      <c r="C2" s="766"/>
      <c r="D2" s="766"/>
      <c r="E2" s="766"/>
      <c r="F2" s="766"/>
      <c r="G2" s="24" t="s">
        <v>63</v>
      </c>
      <c r="H2" s="767" t="s">
        <v>119</v>
      </c>
      <c r="I2" s="767"/>
      <c r="J2" s="767"/>
      <c r="K2" s="767"/>
    </row>
    <row r="3" spans="1:11" ht="33" thickBot="1">
      <c r="A3" s="6" t="s">
        <v>0</v>
      </c>
      <c r="B3" s="21" t="s">
        <v>54</v>
      </c>
      <c r="C3" s="21" t="s">
        <v>60</v>
      </c>
      <c r="D3" s="21" t="s">
        <v>61</v>
      </c>
      <c r="E3" s="21" t="s">
        <v>62</v>
      </c>
      <c r="F3" s="21" t="s">
        <v>55</v>
      </c>
      <c r="G3" s="21" t="s">
        <v>63</v>
      </c>
      <c r="H3" s="21" t="s">
        <v>64</v>
      </c>
      <c r="I3" s="21" t="s">
        <v>98</v>
      </c>
      <c r="J3" s="21" t="s">
        <v>65</v>
      </c>
      <c r="K3" s="21">
        <v>8609</v>
      </c>
    </row>
    <row r="4" spans="1:11">
      <c r="A4" s="489" t="s">
        <v>103</v>
      </c>
      <c r="B4" s="490"/>
      <c r="C4" s="490"/>
      <c r="D4" s="490"/>
      <c r="E4" s="490"/>
      <c r="F4" s="490"/>
      <c r="G4" s="490"/>
      <c r="H4" s="490"/>
      <c r="I4" s="490"/>
      <c r="J4" s="490"/>
      <c r="K4" s="491"/>
    </row>
    <row r="5" spans="1:11">
      <c r="A5" s="492" t="s">
        <v>22</v>
      </c>
      <c r="B5" s="15" t="s">
        <v>99</v>
      </c>
      <c r="C5" s="15" t="s">
        <v>99</v>
      </c>
      <c r="D5" s="15" t="s">
        <v>99</v>
      </c>
      <c r="E5" s="15" t="s">
        <v>99</v>
      </c>
      <c r="F5" s="15" t="s">
        <v>99</v>
      </c>
      <c r="G5" s="22" t="s">
        <v>99</v>
      </c>
      <c r="H5" s="23" t="s">
        <v>99</v>
      </c>
      <c r="I5" s="23" t="s">
        <v>99</v>
      </c>
      <c r="J5" s="16"/>
      <c r="K5" s="486"/>
    </row>
    <row r="6" spans="1:11">
      <c r="A6" s="493" t="s">
        <v>587</v>
      </c>
      <c r="B6" s="17"/>
      <c r="C6" s="17"/>
      <c r="D6" s="17"/>
      <c r="E6" s="17"/>
      <c r="F6" s="18">
        <v>39783</v>
      </c>
      <c r="G6" s="17"/>
      <c r="H6" s="18">
        <v>40391</v>
      </c>
      <c r="I6" s="18">
        <v>40422</v>
      </c>
      <c r="J6" s="17"/>
      <c r="K6" s="486"/>
    </row>
    <row r="7" spans="1:11">
      <c r="A7" s="493" t="s">
        <v>343</v>
      </c>
      <c r="B7" s="19"/>
      <c r="C7" s="19"/>
      <c r="D7" s="19"/>
      <c r="E7" s="19"/>
      <c r="F7" s="19">
        <v>360000</v>
      </c>
      <c r="G7" s="19"/>
      <c r="H7" s="19"/>
      <c r="I7" s="19"/>
      <c r="J7" s="19"/>
      <c r="K7" s="494"/>
    </row>
    <row r="8" spans="1:11" ht="37.5" customHeight="1" thickBot="1">
      <c r="A8" s="495" t="s">
        <v>100</v>
      </c>
      <c r="B8" s="13"/>
      <c r="C8" s="13"/>
      <c r="D8" s="13"/>
      <c r="E8" s="13"/>
      <c r="F8" s="13"/>
      <c r="G8" s="13"/>
      <c r="H8" s="13"/>
      <c r="I8" s="13"/>
      <c r="J8" s="13"/>
      <c r="K8" s="496"/>
    </row>
    <row r="9" spans="1:11">
      <c r="A9" s="497"/>
      <c r="B9" s="20"/>
      <c r="C9" s="20"/>
      <c r="D9" s="20"/>
      <c r="E9" s="20"/>
      <c r="F9" s="20"/>
      <c r="G9" s="20"/>
      <c r="H9" s="20"/>
      <c r="I9" s="20"/>
      <c r="J9" s="20"/>
      <c r="K9" s="485"/>
    </row>
    <row r="10" spans="1:11">
      <c r="A10" s="492" t="s">
        <v>39</v>
      </c>
      <c r="B10" s="15" t="s">
        <v>99</v>
      </c>
      <c r="C10" s="15" t="s">
        <v>99</v>
      </c>
      <c r="D10" s="15" t="s">
        <v>99</v>
      </c>
      <c r="E10" s="15" t="s">
        <v>99</v>
      </c>
      <c r="F10" s="15" t="s">
        <v>99</v>
      </c>
      <c r="G10" s="22" t="s">
        <v>99</v>
      </c>
      <c r="H10" s="23" t="s">
        <v>99</v>
      </c>
      <c r="I10" s="23" t="s">
        <v>99</v>
      </c>
      <c r="J10" s="23" t="s">
        <v>99</v>
      </c>
      <c r="K10" s="486"/>
    </row>
    <row r="11" spans="1:11">
      <c r="A11" s="493" t="s">
        <v>94</v>
      </c>
      <c r="B11" s="17"/>
      <c r="C11" s="17"/>
      <c r="D11" s="17"/>
      <c r="E11" s="17"/>
      <c r="F11" s="18">
        <v>40452</v>
      </c>
      <c r="G11" s="17"/>
      <c r="H11" s="18">
        <v>40483</v>
      </c>
      <c r="I11" s="18">
        <v>40695</v>
      </c>
      <c r="J11" s="17"/>
      <c r="K11" s="486"/>
    </row>
    <row r="12" spans="1:11">
      <c r="A12" s="493" t="s">
        <v>343</v>
      </c>
      <c r="B12" s="19"/>
      <c r="C12" s="19"/>
      <c r="D12" s="19"/>
      <c r="E12" s="19"/>
      <c r="F12" s="19">
        <v>204386</v>
      </c>
      <c r="G12" s="19"/>
      <c r="H12" s="19">
        <v>190761</v>
      </c>
      <c r="I12" s="19"/>
      <c r="J12" s="19">
        <f>Detail!AR27</f>
        <v>192403</v>
      </c>
      <c r="K12" s="494">
        <f>Detail!AV27</f>
        <v>540000</v>
      </c>
    </row>
    <row r="13" spans="1:11" ht="29.25" customHeight="1" thickBot="1">
      <c r="A13" s="495" t="s">
        <v>101</v>
      </c>
      <c r="B13" s="13"/>
      <c r="C13" s="13"/>
      <c r="D13" s="13"/>
      <c r="E13" s="13"/>
      <c r="F13" s="13"/>
      <c r="G13" s="13"/>
      <c r="H13" s="13"/>
      <c r="I13" s="13"/>
      <c r="J13" s="13"/>
      <c r="K13" s="496"/>
    </row>
    <row r="14" spans="1:11">
      <c r="A14" s="497"/>
      <c r="B14" s="20"/>
      <c r="C14" s="20"/>
      <c r="D14" s="20"/>
      <c r="E14" s="20"/>
      <c r="F14" s="20"/>
      <c r="G14" s="20"/>
      <c r="H14" s="20"/>
      <c r="I14" s="20"/>
      <c r="J14" s="20"/>
      <c r="K14" s="485"/>
    </row>
    <row r="15" spans="1:11">
      <c r="A15" s="492" t="s">
        <v>19</v>
      </c>
      <c r="B15" s="15" t="s">
        <v>99</v>
      </c>
      <c r="C15" s="15" t="s">
        <v>99</v>
      </c>
      <c r="D15" s="15" t="s">
        <v>99</v>
      </c>
      <c r="E15" s="15" t="s">
        <v>99</v>
      </c>
      <c r="F15" s="15" t="s">
        <v>99</v>
      </c>
      <c r="G15" s="22" t="s">
        <v>99</v>
      </c>
      <c r="H15" s="23" t="s">
        <v>99</v>
      </c>
      <c r="I15" s="23" t="s">
        <v>99</v>
      </c>
      <c r="J15" s="23" t="s">
        <v>99</v>
      </c>
      <c r="K15" s="486"/>
    </row>
    <row r="16" spans="1:11">
      <c r="A16" s="493" t="s">
        <v>71</v>
      </c>
      <c r="B16" s="17"/>
      <c r="C16" s="17"/>
      <c r="D16" s="25"/>
      <c r="E16" s="17"/>
      <c r="F16" s="18">
        <v>40118</v>
      </c>
      <c r="G16" s="17"/>
      <c r="H16" s="18">
        <v>40513</v>
      </c>
      <c r="I16" s="18">
        <v>40664</v>
      </c>
      <c r="J16" s="483">
        <v>40878</v>
      </c>
      <c r="K16" s="486"/>
    </row>
    <row r="17" spans="1:11">
      <c r="A17" s="493" t="s">
        <v>343</v>
      </c>
      <c r="B17" s="19"/>
      <c r="C17" s="19"/>
      <c r="D17" s="19"/>
      <c r="E17" s="19"/>
      <c r="F17" s="19">
        <v>426000</v>
      </c>
      <c r="G17" s="19"/>
      <c r="H17" s="19">
        <v>334557</v>
      </c>
      <c r="I17" s="19"/>
      <c r="J17" s="19">
        <f>Detail!AR29</f>
        <v>434799</v>
      </c>
      <c r="K17" s="494">
        <f>Detail!BE29</f>
        <v>307201</v>
      </c>
    </row>
    <row r="18" spans="1:11" ht="30" customHeight="1" thickBot="1">
      <c r="A18" s="495" t="s">
        <v>102</v>
      </c>
      <c r="B18" s="13"/>
      <c r="C18" s="13"/>
      <c r="D18" s="13"/>
      <c r="E18" s="13"/>
      <c r="F18" s="13"/>
      <c r="G18" s="13"/>
      <c r="H18" s="13"/>
      <c r="I18" s="13"/>
      <c r="J18" s="13"/>
      <c r="K18" s="496"/>
    </row>
    <row r="19" spans="1:11">
      <c r="A19" s="497"/>
      <c r="B19" s="20"/>
      <c r="C19" s="20"/>
      <c r="D19" s="20"/>
      <c r="E19" s="20"/>
      <c r="F19" s="20"/>
      <c r="G19" s="20"/>
      <c r="H19" s="20"/>
      <c r="I19" s="20"/>
      <c r="J19" s="20"/>
      <c r="K19" s="485"/>
    </row>
    <row r="20" spans="1:11">
      <c r="A20" s="492" t="s">
        <v>51</v>
      </c>
      <c r="B20" s="15" t="s">
        <v>99</v>
      </c>
      <c r="C20" s="15" t="s">
        <v>99</v>
      </c>
      <c r="D20" s="15" t="s">
        <v>99</v>
      </c>
      <c r="E20" s="15" t="s">
        <v>99</v>
      </c>
      <c r="F20" s="15" t="s">
        <v>99</v>
      </c>
      <c r="G20" s="22" t="s">
        <v>99</v>
      </c>
      <c r="H20" s="23" t="s">
        <v>99</v>
      </c>
      <c r="I20" s="23" t="s">
        <v>99</v>
      </c>
      <c r="J20" s="23" t="s">
        <v>99</v>
      </c>
      <c r="K20" s="23" t="s">
        <v>99</v>
      </c>
    </row>
    <row r="21" spans="1:11">
      <c r="A21" s="493" t="s">
        <v>94</v>
      </c>
      <c r="B21" s="17"/>
      <c r="C21" s="17"/>
      <c r="D21" s="17"/>
      <c r="E21" s="17"/>
      <c r="F21" s="18">
        <v>40118</v>
      </c>
      <c r="G21" s="17"/>
      <c r="H21" s="18">
        <v>40483</v>
      </c>
      <c r="I21" s="18">
        <v>40725</v>
      </c>
      <c r="J21" s="17"/>
      <c r="K21" s="486"/>
    </row>
    <row r="22" spans="1:11">
      <c r="A22" s="498" t="s">
        <v>343</v>
      </c>
      <c r="B22" s="19"/>
      <c r="C22" s="19"/>
      <c r="D22" s="19"/>
      <c r="E22" s="19"/>
      <c r="F22" s="19">
        <v>356391</v>
      </c>
      <c r="G22" s="19"/>
      <c r="H22" s="19"/>
      <c r="I22" s="19"/>
      <c r="J22" s="19">
        <f>Detail!AR31</f>
        <v>56392</v>
      </c>
      <c r="K22" s="494">
        <f>Detail!BE31</f>
        <v>287786</v>
      </c>
    </row>
    <row r="23" spans="1:11" ht="33" customHeight="1" thickBot="1">
      <c r="A23" s="495" t="s">
        <v>588</v>
      </c>
      <c r="B23" s="13"/>
      <c r="C23" s="13"/>
      <c r="D23" s="13"/>
      <c r="E23" s="13"/>
      <c r="F23" s="13"/>
      <c r="G23" s="13"/>
      <c r="H23" s="13"/>
      <c r="I23" s="13"/>
      <c r="J23" s="13"/>
      <c r="K23" s="496"/>
    </row>
    <row r="24" spans="1:11" ht="16" thickBot="1">
      <c r="B24" s="20"/>
      <c r="C24" s="20"/>
      <c r="D24" s="20"/>
      <c r="E24" s="20"/>
      <c r="F24" s="20"/>
      <c r="G24" s="20"/>
      <c r="H24" s="20"/>
      <c r="I24" s="20"/>
      <c r="J24" s="20"/>
      <c r="K24" s="14"/>
    </row>
    <row r="25" spans="1:11">
      <c r="A25" s="489" t="s">
        <v>594</v>
      </c>
      <c r="B25" s="20"/>
      <c r="C25" s="20"/>
      <c r="D25" s="20"/>
      <c r="E25" s="20"/>
      <c r="F25" s="20"/>
      <c r="G25" s="20"/>
      <c r="H25" s="20"/>
      <c r="I25" s="20"/>
      <c r="J25" s="20"/>
      <c r="K25" s="485"/>
    </row>
    <row r="26" spans="1:11" s="7" customFormat="1">
      <c r="A26" s="499" t="s">
        <v>3</v>
      </c>
      <c r="B26" s="15" t="s">
        <v>99</v>
      </c>
      <c r="C26" s="15" t="s">
        <v>99</v>
      </c>
      <c r="D26" s="15" t="s">
        <v>99</v>
      </c>
      <c r="E26" s="15" t="s">
        <v>99</v>
      </c>
      <c r="F26" s="15" t="s">
        <v>99</v>
      </c>
      <c r="G26" s="22" t="s">
        <v>99</v>
      </c>
      <c r="H26" s="17"/>
      <c r="I26" s="17"/>
      <c r="J26" s="17"/>
      <c r="K26" s="486"/>
    </row>
    <row r="27" spans="1:11" s="7" customFormat="1">
      <c r="A27" s="498" t="s">
        <v>95</v>
      </c>
      <c r="B27" s="17"/>
      <c r="C27" s="17"/>
      <c r="D27" s="17"/>
      <c r="E27" s="17"/>
      <c r="F27" s="18">
        <f>Detail!P28</f>
        <v>40849</v>
      </c>
      <c r="G27" s="18">
        <f>Detail!R28</f>
        <v>40848</v>
      </c>
      <c r="H27" s="18">
        <f>Detail!S28</f>
        <v>41214</v>
      </c>
      <c r="I27" s="17"/>
      <c r="J27" s="17"/>
      <c r="K27" s="486"/>
    </row>
    <row r="28" spans="1:11" s="7" customFormat="1">
      <c r="A28" s="493" t="s">
        <v>343</v>
      </c>
      <c r="B28" s="17"/>
      <c r="C28" s="17"/>
      <c r="D28" s="17"/>
      <c r="E28" s="17"/>
      <c r="F28" s="487">
        <f>Detail!AR28</f>
        <v>445719</v>
      </c>
      <c r="G28" s="487"/>
      <c r="H28" s="487">
        <f>Detail!BG28</f>
        <v>59948.799999999988</v>
      </c>
      <c r="I28" s="17"/>
      <c r="J28" s="17"/>
      <c r="K28" s="486"/>
    </row>
    <row r="29" spans="1:11" s="7" customFormat="1">
      <c r="B29" s="17"/>
      <c r="C29" s="17"/>
      <c r="D29" s="17"/>
      <c r="E29" s="17"/>
      <c r="F29" s="17"/>
      <c r="G29" s="17"/>
      <c r="H29" s="17"/>
      <c r="I29" s="17"/>
      <c r="J29" s="17"/>
      <c r="K29" s="486"/>
    </row>
    <row r="30" spans="1:11" s="7" customFormat="1">
      <c r="A30" s="499" t="s">
        <v>11</v>
      </c>
      <c r="B30" s="15" t="s">
        <v>99</v>
      </c>
      <c r="C30" s="15" t="s">
        <v>99</v>
      </c>
      <c r="D30" s="15" t="s">
        <v>99</v>
      </c>
      <c r="E30" s="15" t="s">
        <v>99</v>
      </c>
      <c r="F30" s="15" t="s">
        <v>99</v>
      </c>
      <c r="G30" s="22" t="s">
        <v>99</v>
      </c>
      <c r="H30" s="17"/>
      <c r="I30" s="17"/>
      <c r="J30" s="17"/>
      <c r="K30" s="486"/>
    </row>
    <row r="31" spans="1:11" s="7" customFormat="1">
      <c r="A31" s="498" t="s">
        <v>72</v>
      </c>
      <c r="F31" s="18"/>
      <c r="G31" s="18"/>
      <c r="H31" s="17"/>
      <c r="I31" s="17"/>
      <c r="J31" s="17"/>
      <c r="K31" s="486"/>
    </row>
    <row r="32" spans="1:11" s="7" customFormat="1" ht="16" thickBot="1">
      <c r="A32" s="493" t="s">
        <v>343</v>
      </c>
      <c r="B32" s="17"/>
      <c r="C32" s="17"/>
      <c r="D32" s="17"/>
      <c r="E32" s="17"/>
      <c r="F32" s="487">
        <v>275000</v>
      </c>
      <c r="G32" s="17"/>
      <c r="H32" s="488"/>
      <c r="I32" s="17"/>
      <c r="J32" s="488"/>
      <c r="K32" s="486"/>
    </row>
    <row r="33" spans="1:11">
      <c r="A33" s="489" t="s">
        <v>104</v>
      </c>
      <c r="B33" s="20"/>
      <c r="C33" s="20"/>
      <c r="D33" s="20"/>
      <c r="E33" s="20"/>
      <c r="F33" s="20"/>
      <c r="G33" s="20"/>
      <c r="H33" s="20"/>
      <c r="I33" s="20"/>
      <c r="J33" s="20"/>
      <c r="K33" s="485"/>
    </row>
    <row r="34" spans="1:11">
      <c r="A34" s="492" t="s">
        <v>93</v>
      </c>
      <c r="B34" s="15" t="s">
        <v>99</v>
      </c>
      <c r="C34" s="15" t="s">
        <v>99</v>
      </c>
      <c r="D34" s="15" t="s">
        <v>99</v>
      </c>
      <c r="E34" s="16"/>
      <c r="F34" s="16"/>
      <c r="G34" s="16"/>
      <c r="H34" s="16"/>
      <c r="I34" s="16"/>
      <c r="J34" s="16"/>
      <c r="K34" s="486"/>
    </row>
    <row r="35" spans="1:11">
      <c r="A35" s="493" t="s">
        <v>597</v>
      </c>
      <c r="B35" s="17"/>
      <c r="C35" s="17"/>
      <c r="D35" s="17"/>
      <c r="E35" s="17"/>
      <c r="F35" s="18">
        <f>Detail!P32</f>
        <v>41214</v>
      </c>
      <c r="G35" s="18">
        <f>Detail!R32</f>
        <v>41244</v>
      </c>
      <c r="H35" s="18">
        <f>Detail!S32</f>
        <v>41974</v>
      </c>
      <c r="I35" s="18"/>
      <c r="J35" s="17"/>
      <c r="K35" s="486"/>
    </row>
    <row r="36" spans="1:11">
      <c r="A36" s="493" t="s">
        <v>343</v>
      </c>
      <c r="B36" s="19"/>
      <c r="C36" s="19"/>
      <c r="D36" s="19"/>
      <c r="E36" s="19"/>
      <c r="F36" s="19">
        <f>Detail!BG32</f>
        <v>375000</v>
      </c>
      <c r="G36" s="19"/>
      <c r="H36" s="19"/>
      <c r="I36" s="19"/>
      <c r="J36" s="19"/>
      <c r="K36" s="494"/>
    </row>
    <row r="37" spans="1:11" ht="37.5" customHeight="1" thickBot="1">
      <c r="A37" s="495" t="s">
        <v>69</v>
      </c>
      <c r="B37" s="13"/>
      <c r="C37" s="13"/>
      <c r="D37" s="13"/>
      <c r="E37" s="13"/>
      <c r="F37" s="13"/>
      <c r="G37" s="13"/>
      <c r="H37" s="13"/>
      <c r="I37" s="13"/>
      <c r="J37" s="13"/>
      <c r="K37" s="496"/>
    </row>
    <row r="38" spans="1:11">
      <c r="A38" s="497"/>
      <c r="B38" s="20"/>
      <c r="C38" s="20"/>
      <c r="D38" s="20"/>
      <c r="E38" s="20"/>
      <c r="F38" s="20"/>
      <c r="G38" s="20"/>
      <c r="H38" s="20"/>
      <c r="I38" s="20"/>
      <c r="J38" s="20"/>
      <c r="K38" s="485"/>
    </row>
    <row r="39" spans="1:11">
      <c r="A39" s="492" t="s">
        <v>105</v>
      </c>
      <c r="B39" s="15" t="s">
        <v>99</v>
      </c>
      <c r="C39" s="15" t="s">
        <v>99</v>
      </c>
      <c r="D39" s="15" t="s">
        <v>99</v>
      </c>
      <c r="E39" s="16"/>
      <c r="F39" s="16"/>
      <c r="G39" s="16"/>
      <c r="H39" s="16"/>
      <c r="I39" s="16"/>
      <c r="J39" s="16"/>
      <c r="K39" s="486"/>
    </row>
    <row r="40" spans="1:11">
      <c r="A40" s="493" t="s">
        <v>75</v>
      </c>
      <c r="B40" s="17"/>
      <c r="C40" s="17"/>
      <c r="D40" s="17"/>
      <c r="E40" s="17"/>
      <c r="F40" s="18">
        <f>Detail!P26</f>
        <v>41244</v>
      </c>
      <c r="G40" s="18">
        <f>Detail!R26</f>
        <v>41244</v>
      </c>
      <c r="H40" s="18">
        <f>Detail!S26</f>
        <v>41883</v>
      </c>
      <c r="I40" s="18"/>
      <c r="J40" s="17"/>
      <c r="K40" s="486"/>
    </row>
    <row r="41" spans="1:11">
      <c r="A41" s="493" t="s">
        <v>343</v>
      </c>
      <c r="B41" s="19"/>
      <c r="C41" s="19"/>
      <c r="D41" s="19"/>
      <c r="E41" s="19"/>
      <c r="F41" s="19">
        <f>Detail!BG26</f>
        <v>485341</v>
      </c>
      <c r="G41" s="19"/>
      <c r="H41" s="19"/>
      <c r="I41" s="19"/>
      <c r="J41" s="19"/>
      <c r="K41" s="494"/>
    </row>
    <row r="42" spans="1:11" ht="29.25" customHeight="1" thickBot="1">
      <c r="A42" s="495" t="s">
        <v>70</v>
      </c>
      <c r="B42" s="13"/>
      <c r="C42" s="13"/>
      <c r="D42" s="13"/>
      <c r="E42" s="13"/>
      <c r="F42" s="13"/>
      <c r="G42" s="13"/>
      <c r="H42" s="13"/>
      <c r="I42" s="13"/>
      <c r="J42" s="13"/>
      <c r="K42" s="496"/>
    </row>
    <row r="43" spans="1:11">
      <c r="A43" s="497"/>
      <c r="B43" s="20"/>
      <c r="C43" s="20"/>
      <c r="D43" s="20"/>
      <c r="E43" s="20"/>
      <c r="F43" s="20"/>
      <c r="G43" s="20"/>
      <c r="H43" s="20"/>
      <c r="I43" s="20"/>
      <c r="J43" s="20"/>
      <c r="K43" s="485"/>
    </row>
    <row r="44" spans="1:11">
      <c r="A44" s="492" t="s">
        <v>106</v>
      </c>
      <c r="B44" s="15" t="s">
        <v>99</v>
      </c>
      <c r="C44" s="15" t="s">
        <v>99</v>
      </c>
      <c r="D44" s="15" t="s">
        <v>99</v>
      </c>
      <c r="E44" s="16"/>
      <c r="F44" s="16"/>
      <c r="G44" s="16"/>
      <c r="H44" s="16"/>
      <c r="I44" s="16"/>
      <c r="J44" s="16"/>
      <c r="K44" s="486"/>
    </row>
    <row r="45" spans="1:11">
      <c r="A45" s="493" t="s">
        <v>95</v>
      </c>
      <c r="B45" s="17"/>
      <c r="C45" s="17"/>
      <c r="D45" s="17"/>
      <c r="E45" s="17"/>
      <c r="F45" s="484">
        <f>Detail!P39</f>
        <v>41548</v>
      </c>
      <c r="G45" s="484">
        <f>Detail!R39</f>
        <v>41548</v>
      </c>
      <c r="H45" s="484">
        <f>Detail!S39</f>
        <v>41913</v>
      </c>
      <c r="I45" s="427"/>
      <c r="J45" s="17"/>
      <c r="K45" s="486"/>
    </row>
    <row r="46" spans="1:11">
      <c r="A46" s="493" t="s">
        <v>343</v>
      </c>
      <c r="B46" s="19"/>
      <c r="C46" s="19"/>
      <c r="D46" s="19"/>
      <c r="E46" s="19"/>
      <c r="F46" s="19">
        <f>Detail!BH39</f>
        <v>226256</v>
      </c>
      <c r="G46" s="19"/>
      <c r="H46" s="19"/>
      <c r="I46" s="19"/>
      <c r="J46" s="19"/>
      <c r="K46" s="494"/>
    </row>
    <row r="47" spans="1:11" ht="30" customHeight="1" thickBot="1">
      <c r="A47" s="495" t="s">
        <v>108</v>
      </c>
      <c r="B47" s="13"/>
      <c r="C47" s="13"/>
      <c r="D47" s="13"/>
      <c r="E47" s="13"/>
      <c r="F47" s="13"/>
      <c r="G47" s="13"/>
      <c r="H47" s="13"/>
      <c r="I47" s="13"/>
      <c r="J47" s="13"/>
      <c r="K47" s="496"/>
    </row>
    <row r="48" spans="1:11">
      <c r="A48" s="497"/>
      <c r="B48" s="20"/>
      <c r="C48" s="20"/>
      <c r="D48" s="20"/>
      <c r="E48" s="20"/>
      <c r="F48" s="20"/>
      <c r="G48" s="20"/>
      <c r="H48" s="20"/>
      <c r="I48" s="20"/>
      <c r="J48" s="20"/>
      <c r="K48" s="485"/>
    </row>
    <row r="49" spans="1:11">
      <c r="A49" s="492" t="s">
        <v>107</v>
      </c>
      <c r="B49" s="15" t="s">
        <v>99</v>
      </c>
      <c r="C49" s="15" t="s">
        <v>99</v>
      </c>
      <c r="D49" s="15" t="s">
        <v>99</v>
      </c>
      <c r="E49" s="16"/>
      <c r="F49" s="16"/>
      <c r="G49" s="16"/>
      <c r="H49" s="16"/>
      <c r="I49" s="16"/>
      <c r="J49" s="16"/>
      <c r="K49" s="486"/>
    </row>
    <row r="50" spans="1:11">
      <c r="A50" s="493" t="s">
        <v>598</v>
      </c>
      <c r="B50" s="17"/>
      <c r="C50" s="17"/>
      <c r="D50" s="17"/>
      <c r="E50" s="17"/>
      <c r="F50" s="18">
        <f>Detail!P38</f>
        <v>41244</v>
      </c>
      <c r="G50" s="18">
        <f>Detail!R38</f>
        <v>41275</v>
      </c>
      <c r="H50" s="18">
        <f>Detail!S38</f>
        <v>41730</v>
      </c>
      <c r="I50" s="18"/>
      <c r="J50" s="17"/>
      <c r="K50" s="486"/>
    </row>
    <row r="51" spans="1:11">
      <c r="A51" s="493" t="s">
        <v>343</v>
      </c>
      <c r="B51" s="19"/>
      <c r="C51" s="19"/>
      <c r="D51" s="19"/>
      <c r="E51" s="19"/>
      <c r="F51" s="19">
        <f>Detail!BG38</f>
        <v>166666.5</v>
      </c>
      <c r="G51" s="19"/>
      <c r="H51" s="19"/>
      <c r="I51" s="19"/>
      <c r="J51" s="19"/>
      <c r="K51" s="494"/>
    </row>
    <row r="52" spans="1:11" ht="33" customHeight="1" thickBot="1">
      <c r="A52" s="495" t="s">
        <v>69</v>
      </c>
      <c r="B52" s="13"/>
      <c r="C52" s="13"/>
      <c r="D52" s="13"/>
      <c r="E52" s="13"/>
      <c r="F52" s="13"/>
      <c r="G52" s="13"/>
      <c r="H52" s="13"/>
      <c r="I52" s="13"/>
      <c r="J52" s="13"/>
      <c r="K52" s="496"/>
    </row>
    <row r="53" spans="1:11" s="7" customFormat="1">
      <c r="A53" s="500"/>
      <c r="B53" s="20"/>
      <c r="C53" s="20"/>
      <c r="D53" s="20"/>
      <c r="E53" s="20"/>
      <c r="F53" s="20"/>
      <c r="G53" s="20"/>
      <c r="H53" s="20"/>
      <c r="I53" s="20"/>
      <c r="J53" s="20"/>
      <c r="K53" s="485"/>
    </row>
    <row r="54" spans="1:11" s="7" customFormat="1">
      <c r="A54" s="492" t="s">
        <v>585</v>
      </c>
      <c r="B54" s="15" t="s">
        <v>99</v>
      </c>
      <c r="C54" s="15" t="s">
        <v>99</v>
      </c>
      <c r="D54" s="17" t="s">
        <v>68</v>
      </c>
      <c r="E54" s="17" t="s">
        <v>68</v>
      </c>
      <c r="F54" s="17"/>
      <c r="G54" s="17"/>
      <c r="H54" s="17"/>
      <c r="I54" s="17"/>
      <c r="J54" s="17"/>
      <c r="K54" s="486"/>
    </row>
    <row r="55" spans="1:11" s="7" customFormat="1">
      <c r="A55" s="501" t="s">
        <v>71</v>
      </c>
      <c r="B55" s="17"/>
      <c r="C55" s="17"/>
      <c r="D55" s="17"/>
      <c r="E55" s="17"/>
      <c r="F55" s="18">
        <f>Detail!P41</f>
        <v>41244</v>
      </c>
      <c r="G55" s="18">
        <f>Detail!R41</f>
        <v>41275</v>
      </c>
      <c r="H55" s="18">
        <f>Detail!S41</f>
        <v>41639</v>
      </c>
      <c r="I55" s="17"/>
      <c r="J55" s="17"/>
      <c r="K55" s="486"/>
    </row>
    <row r="56" spans="1:11" s="7" customFormat="1">
      <c r="A56" s="493" t="s">
        <v>343</v>
      </c>
      <c r="B56" s="17"/>
      <c r="C56" s="17"/>
      <c r="D56" s="17"/>
      <c r="E56" s="17"/>
      <c r="F56" s="487">
        <f>Detail!BG41</f>
        <v>162890.5</v>
      </c>
      <c r="G56" s="17"/>
      <c r="H56" s="17"/>
      <c r="I56" s="17"/>
      <c r="J56" s="17"/>
      <c r="K56" s="486"/>
    </row>
    <row r="57" spans="1:11" ht="51" customHeight="1" thickBot="1">
      <c r="A57" s="495" t="s">
        <v>589</v>
      </c>
      <c r="B57" s="760"/>
      <c r="C57" s="760"/>
      <c r="D57" s="760"/>
      <c r="E57" s="760"/>
      <c r="F57" s="760"/>
      <c r="G57" s="760"/>
      <c r="H57" s="760"/>
      <c r="I57" s="760"/>
      <c r="J57" s="760"/>
      <c r="K57" s="761"/>
    </row>
    <row r="58" spans="1:11" ht="16" thickBot="1">
      <c r="A58" s="482"/>
      <c r="B58" s="11"/>
      <c r="C58" s="11"/>
      <c r="D58" s="11"/>
      <c r="E58" s="11"/>
      <c r="F58" s="11"/>
      <c r="G58" s="11"/>
      <c r="H58" s="11"/>
      <c r="I58" s="11"/>
      <c r="J58" s="11"/>
      <c r="K58" s="11"/>
    </row>
    <row r="59" spans="1:11">
      <c r="A59" s="502" t="s">
        <v>80</v>
      </c>
      <c r="B59" s="20"/>
      <c r="C59" s="20"/>
      <c r="D59" s="20"/>
      <c r="E59" s="20"/>
      <c r="F59" s="20"/>
      <c r="G59" s="20"/>
      <c r="H59" s="20"/>
      <c r="I59" s="20"/>
      <c r="J59" s="20"/>
      <c r="K59" s="485"/>
    </row>
    <row r="60" spans="1:11">
      <c r="A60" s="493" t="s">
        <v>73</v>
      </c>
      <c r="B60" s="15" t="s">
        <v>99</v>
      </c>
      <c r="C60" s="17" t="s">
        <v>66</v>
      </c>
      <c r="D60" s="17" t="s">
        <v>68</v>
      </c>
      <c r="E60" s="17"/>
      <c r="F60" s="17"/>
      <c r="G60" s="17"/>
      <c r="H60" s="17"/>
      <c r="I60" s="17"/>
      <c r="J60" s="17"/>
      <c r="K60" s="486"/>
    </row>
    <row r="61" spans="1:11">
      <c r="A61" s="493" t="s">
        <v>72</v>
      </c>
      <c r="B61" s="17"/>
      <c r="C61" s="17"/>
      <c r="D61" s="17"/>
      <c r="E61" s="17"/>
      <c r="F61" s="17"/>
      <c r="G61" s="17"/>
      <c r="H61" s="17"/>
      <c r="I61" s="17"/>
      <c r="J61" s="17"/>
      <c r="K61" s="486"/>
    </row>
    <row r="62" spans="1:11" ht="16" thickBot="1">
      <c r="A62" s="495" t="s">
        <v>590</v>
      </c>
      <c r="B62" s="762" t="s">
        <v>84</v>
      </c>
      <c r="C62" s="762"/>
      <c r="D62" s="762"/>
      <c r="E62" s="762"/>
      <c r="F62" s="762"/>
      <c r="G62" s="762"/>
      <c r="H62" s="762"/>
      <c r="I62" s="762"/>
      <c r="J62" s="762"/>
      <c r="K62" s="763"/>
    </row>
    <row r="63" spans="1:11">
      <c r="A63" s="497"/>
      <c r="B63" s="20"/>
      <c r="C63" s="20"/>
      <c r="D63" s="20"/>
      <c r="E63" s="20"/>
      <c r="F63" s="20"/>
      <c r="G63" s="20"/>
      <c r="H63" s="20"/>
      <c r="I63" s="20"/>
      <c r="J63" s="20"/>
      <c r="K63" s="485"/>
    </row>
    <row r="64" spans="1:11">
      <c r="A64" s="493" t="s">
        <v>85</v>
      </c>
      <c r="B64" s="15" t="s">
        <v>99</v>
      </c>
      <c r="C64" s="15" t="s">
        <v>99</v>
      </c>
      <c r="D64" s="17"/>
      <c r="E64" s="17"/>
      <c r="F64" s="17"/>
      <c r="G64" s="17"/>
      <c r="H64" s="17"/>
      <c r="I64" s="17"/>
      <c r="J64" s="17"/>
      <c r="K64" s="486"/>
    </row>
    <row r="65" spans="1:11">
      <c r="A65" s="493" t="s">
        <v>71</v>
      </c>
      <c r="B65" s="17"/>
      <c r="C65" s="17"/>
      <c r="D65" s="17"/>
      <c r="E65" s="17"/>
      <c r="F65" s="17"/>
      <c r="G65" s="17"/>
      <c r="H65" s="17"/>
      <c r="I65" s="17"/>
      <c r="J65" s="17"/>
      <c r="K65" s="486"/>
    </row>
    <row r="66" spans="1:11" ht="39.75" customHeight="1" thickBot="1">
      <c r="A66" s="495" t="s">
        <v>591</v>
      </c>
      <c r="B66" s="762"/>
      <c r="C66" s="762"/>
      <c r="D66" s="762"/>
      <c r="E66" s="762"/>
      <c r="F66" s="762"/>
      <c r="G66" s="762"/>
      <c r="H66" s="762"/>
      <c r="I66" s="762"/>
      <c r="J66" s="762"/>
      <c r="K66" s="763"/>
    </row>
    <row r="67" spans="1:11">
      <c r="A67" s="497"/>
      <c r="B67" s="503"/>
      <c r="C67" s="503"/>
      <c r="D67" s="503"/>
      <c r="E67" s="503"/>
      <c r="F67" s="503"/>
      <c r="G67" s="503"/>
      <c r="H67" s="503"/>
      <c r="I67" s="503"/>
      <c r="J67" s="503"/>
      <c r="K67" s="504"/>
    </row>
    <row r="68" spans="1:11">
      <c r="A68" s="493" t="s">
        <v>87</v>
      </c>
      <c r="B68" s="17" t="s">
        <v>68</v>
      </c>
      <c r="C68" s="17"/>
      <c r="D68" s="17"/>
      <c r="E68" s="17"/>
      <c r="F68" s="17"/>
      <c r="G68" s="17"/>
      <c r="H68" s="17"/>
      <c r="I68" s="17"/>
      <c r="J68" s="17"/>
      <c r="K68" s="486"/>
    </row>
    <row r="69" spans="1:11">
      <c r="A69" s="493" t="s">
        <v>71</v>
      </c>
      <c r="B69" s="17"/>
      <c r="C69" s="17"/>
      <c r="D69" s="17"/>
      <c r="E69" s="17"/>
      <c r="F69" s="17"/>
      <c r="G69" s="17"/>
      <c r="H69" s="17"/>
      <c r="I69" s="17"/>
      <c r="J69" s="17"/>
      <c r="K69" s="486"/>
    </row>
    <row r="70" spans="1:11">
      <c r="A70" s="498" t="s">
        <v>83</v>
      </c>
      <c r="B70" s="17"/>
      <c r="C70" s="17"/>
      <c r="D70" s="17"/>
      <c r="E70" s="17"/>
      <c r="F70" s="17"/>
      <c r="G70" s="17"/>
      <c r="H70" s="17"/>
      <c r="I70" s="17"/>
      <c r="J70" s="17"/>
      <c r="K70" s="486"/>
    </row>
    <row r="71" spans="1:11" ht="30.75" customHeight="1" thickBot="1">
      <c r="A71" s="495" t="s">
        <v>592</v>
      </c>
      <c r="B71" s="760"/>
      <c r="C71" s="760"/>
      <c r="D71" s="760"/>
      <c r="E71" s="760"/>
      <c r="F71" s="760"/>
      <c r="G71" s="760"/>
      <c r="H71" s="760"/>
      <c r="I71" s="760"/>
      <c r="J71" s="760"/>
      <c r="K71" s="761"/>
    </row>
    <row r="72" spans="1:11" ht="16" thickBot="1">
      <c r="B72" s="1"/>
      <c r="C72" s="1"/>
      <c r="D72" s="1"/>
      <c r="E72" s="1"/>
      <c r="F72" s="1"/>
      <c r="G72" s="1"/>
      <c r="H72" s="1"/>
      <c r="I72" s="1"/>
      <c r="J72" s="1"/>
      <c r="K72" s="1"/>
    </row>
    <row r="73" spans="1:11">
      <c r="A73" s="502" t="s">
        <v>81</v>
      </c>
      <c r="B73" s="20"/>
      <c r="C73" s="20"/>
      <c r="D73" s="20"/>
      <c r="E73" s="20"/>
      <c r="F73" s="20"/>
      <c r="G73" s="20"/>
      <c r="H73" s="20"/>
      <c r="I73" s="20"/>
      <c r="J73" s="20"/>
      <c r="K73" s="485"/>
    </row>
    <row r="74" spans="1:11">
      <c r="A74" s="493" t="s">
        <v>595</v>
      </c>
      <c r="B74" s="17" t="s">
        <v>68</v>
      </c>
      <c r="C74" s="17"/>
      <c r="D74" s="17"/>
      <c r="E74" s="17"/>
      <c r="F74" s="17"/>
      <c r="G74" s="17"/>
      <c r="H74" s="17"/>
      <c r="I74" s="17"/>
      <c r="J74" s="17"/>
      <c r="K74" s="486"/>
    </row>
    <row r="75" spans="1:11">
      <c r="A75" s="493" t="s">
        <v>74</v>
      </c>
      <c r="B75" s="17"/>
      <c r="C75" s="17"/>
      <c r="D75" s="17"/>
      <c r="E75" s="17"/>
      <c r="F75" s="17"/>
      <c r="G75" s="17"/>
      <c r="H75" s="17"/>
      <c r="I75" s="17"/>
      <c r="J75" s="17"/>
      <c r="K75" s="486"/>
    </row>
    <row r="76" spans="1:11" ht="27" thickBot="1">
      <c r="A76" s="495" t="s">
        <v>596</v>
      </c>
      <c r="B76" s="762"/>
      <c r="C76" s="762"/>
      <c r="D76" s="762"/>
      <c r="E76" s="762"/>
      <c r="F76" s="762"/>
      <c r="G76" s="762"/>
      <c r="H76" s="762"/>
      <c r="I76" s="762"/>
      <c r="J76" s="762"/>
      <c r="K76" s="763"/>
    </row>
    <row r="77" spans="1:11" ht="16" thickBot="1">
      <c r="B77" s="1"/>
      <c r="C77" s="1"/>
      <c r="D77" s="1"/>
      <c r="E77" s="1"/>
      <c r="F77" s="1"/>
      <c r="G77" s="1"/>
      <c r="H77" s="1"/>
      <c r="I77" s="1"/>
      <c r="J77" s="1"/>
      <c r="K77" s="1"/>
    </row>
    <row r="78" spans="1:11">
      <c r="A78" s="502" t="s">
        <v>96</v>
      </c>
      <c r="B78" s="20"/>
      <c r="C78" s="20"/>
      <c r="D78" s="20"/>
      <c r="E78" s="20"/>
      <c r="F78" s="20"/>
      <c r="G78" s="20"/>
      <c r="H78" s="20"/>
      <c r="I78" s="20"/>
      <c r="J78" s="20"/>
      <c r="K78" s="485"/>
    </row>
    <row r="79" spans="1:11">
      <c r="A79" s="493"/>
      <c r="B79" s="10"/>
      <c r="C79" s="10"/>
      <c r="D79" s="10"/>
      <c r="E79" s="10"/>
      <c r="F79" s="10"/>
      <c r="G79" s="10"/>
      <c r="H79" s="10"/>
      <c r="I79" s="10"/>
      <c r="J79" s="10"/>
      <c r="K79" s="505"/>
    </row>
    <row r="80" spans="1:11">
      <c r="A80" s="493" t="s">
        <v>86</v>
      </c>
      <c r="B80" s="17" t="s">
        <v>68</v>
      </c>
      <c r="C80" s="17"/>
      <c r="D80" s="17"/>
      <c r="E80" s="17"/>
      <c r="F80" s="17"/>
      <c r="G80" s="17"/>
      <c r="H80" s="17"/>
      <c r="I80" s="17"/>
      <c r="J80" s="17"/>
      <c r="K80" s="486"/>
    </row>
    <row r="81" spans="1:11">
      <c r="A81" s="493" t="s">
        <v>71</v>
      </c>
      <c r="B81" s="17"/>
      <c r="C81" s="17"/>
      <c r="D81" s="17"/>
      <c r="E81" s="17"/>
      <c r="F81" s="17"/>
      <c r="G81" s="17"/>
      <c r="H81" s="17"/>
      <c r="I81" s="17"/>
      <c r="J81" s="17"/>
      <c r="K81" s="486"/>
    </row>
    <row r="82" spans="1:11" ht="27" thickBot="1">
      <c r="A82" s="495" t="s">
        <v>593</v>
      </c>
      <c r="B82" s="762"/>
      <c r="C82" s="762"/>
      <c r="D82" s="762"/>
      <c r="E82" s="762"/>
      <c r="F82" s="762"/>
      <c r="G82" s="762"/>
      <c r="H82" s="762"/>
      <c r="I82" s="762"/>
      <c r="J82" s="762"/>
      <c r="K82" s="763"/>
    </row>
    <row r="83" spans="1:11" ht="16" thickBot="1">
      <c r="B83" s="10"/>
      <c r="C83" s="10"/>
      <c r="D83" s="10"/>
      <c r="E83" s="10"/>
      <c r="F83" s="10"/>
      <c r="G83" s="10"/>
      <c r="H83" s="10"/>
      <c r="I83" s="10"/>
      <c r="J83" s="10"/>
      <c r="K83" s="10"/>
    </row>
    <row r="84" spans="1:11">
      <c r="A84" s="497"/>
      <c r="B84" s="20"/>
      <c r="C84" s="20"/>
      <c r="D84" s="20"/>
      <c r="E84" s="20"/>
      <c r="F84" s="20"/>
      <c r="G84" s="20"/>
      <c r="H84" s="20"/>
      <c r="I84" s="20"/>
      <c r="J84" s="20"/>
      <c r="K84" s="485"/>
    </row>
    <row r="85" spans="1:11">
      <c r="A85" s="493"/>
      <c r="B85" s="17"/>
      <c r="C85" s="17"/>
      <c r="D85" s="17"/>
      <c r="E85" s="17"/>
      <c r="F85" s="17"/>
      <c r="G85" s="17"/>
      <c r="H85" s="17"/>
      <c r="I85" s="17"/>
      <c r="J85" s="17"/>
      <c r="K85" s="486"/>
    </row>
    <row r="86" spans="1:11" ht="16" thickBot="1">
      <c r="A86" s="495"/>
      <c r="B86" s="760"/>
      <c r="C86" s="760"/>
      <c r="D86" s="760"/>
      <c r="E86" s="760"/>
      <c r="F86" s="760"/>
      <c r="G86" s="760"/>
      <c r="H86" s="760"/>
      <c r="I86" s="760"/>
      <c r="J86" s="760"/>
      <c r="K86" s="761"/>
    </row>
    <row r="87" spans="1:11">
      <c r="B87" s="11"/>
      <c r="C87" s="11"/>
      <c r="D87" s="11"/>
      <c r="E87" s="11"/>
      <c r="F87" s="11"/>
      <c r="G87" s="11"/>
      <c r="H87" s="11"/>
      <c r="I87" s="11"/>
      <c r="J87" s="11"/>
      <c r="K87" s="11"/>
    </row>
    <row r="88" spans="1:11">
      <c r="B88" s="7"/>
      <c r="C88" s="7"/>
      <c r="D88" s="7"/>
      <c r="E88" s="7"/>
      <c r="F88" s="7"/>
      <c r="G88" s="7"/>
      <c r="H88" s="7"/>
      <c r="I88" s="7"/>
      <c r="J88" s="7"/>
      <c r="K88" s="7"/>
    </row>
  </sheetData>
  <mergeCells count="10">
    <mergeCell ref="A1:K1"/>
    <mergeCell ref="B62:K62"/>
    <mergeCell ref="B2:F2"/>
    <mergeCell ref="H2:K2"/>
    <mergeCell ref="B76:K76"/>
    <mergeCell ref="B86:K86"/>
    <mergeCell ref="B57:K57"/>
    <mergeCell ref="B66:K66"/>
    <mergeCell ref="B71:K71"/>
    <mergeCell ref="B82:K82"/>
  </mergeCells>
  <printOptions horizontalCentered="1"/>
  <pageMargins left="0.2" right="0.2" top="0.5" bottom="0.5" header="0.3" footer="0.3"/>
  <pageSetup scale="75" fitToHeight="2" orientation="landscape" r:id="rId1"/>
  <headerFooter>
    <oddFooter>&amp;R&amp;P of &amp;N</oddFooter>
  </headerFooter>
  <rowBreaks count="2" manualBreakCount="2">
    <brk id="37" max="16383" man="1"/>
    <brk id="58"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tabColor rgb="FF00B0F0"/>
  </sheetPr>
  <dimension ref="B1:U291"/>
  <sheetViews>
    <sheetView workbookViewId="0">
      <selection activeCell="Z27" sqref="Z27"/>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Detail!A26</f>
        <v xml:space="preserve">26th &amp; Kostner/Keating </v>
      </c>
      <c r="D2" s="341"/>
      <c r="E2" s="341"/>
      <c r="F2" s="120"/>
      <c r="G2" s="120"/>
      <c r="H2" s="120"/>
      <c r="I2" s="120"/>
      <c r="J2" s="120"/>
      <c r="K2" s="120"/>
      <c r="L2" s="120"/>
      <c r="M2" s="121"/>
      <c r="N2" s="319"/>
    </row>
    <row r="3" spans="2:21" s="122" customFormat="1" ht="20.25" customHeight="1" thickBot="1">
      <c r="B3" s="319"/>
      <c r="C3" s="136" t="s">
        <v>808</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Detail!V26</f>
        <v>Family</v>
      </c>
      <c r="G6" s="836"/>
      <c r="H6" s="357"/>
      <c r="I6" s="833" t="s">
        <v>219</v>
      </c>
      <c r="J6" s="834"/>
      <c r="K6" s="834"/>
      <c r="L6" s="837" t="str">
        <f>Detail!I26</f>
        <v>LIHTC - 4%</v>
      </c>
      <c r="M6" s="838"/>
      <c r="N6" s="318"/>
    </row>
    <row r="7" spans="2:21" ht="36" customHeight="1">
      <c r="B7" s="318"/>
      <c r="C7" s="796" t="s">
        <v>214</v>
      </c>
      <c r="D7" s="797"/>
      <c r="E7" s="352"/>
      <c r="F7" s="819" t="str">
        <f>Detail!C26</f>
        <v>Chicago</v>
      </c>
      <c r="G7" s="820"/>
      <c r="H7" s="357"/>
      <c r="I7" s="796" t="s">
        <v>183</v>
      </c>
      <c r="J7" s="797"/>
      <c r="K7" s="797"/>
      <c r="L7" s="830" t="str">
        <f>Detail!J26</f>
        <v>Local: City/County Funding</v>
      </c>
      <c r="M7" s="831"/>
      <c r="N7" s="318"/>
    </row>
    <row r="8" spans="2:21" ht="17.25" customHeight="1">
      <c r="B8" s="318"/>
      <c r="C8" s="796" t="s">
        <v>9</v>
      </c>
      <c r="D8" s="797"/>
      <c r="E8" s="352"/>
      <c r="F8" s="819" t="str">
        <f>Detail!D26</f>
        <v>Adaptive/ Rehab</v>
      </c>
      <c r="G8" s="820"/>
      <c r="H8" s="357"/>
      <c r="I8" s="796" t="s">
        <v>184</v>
      </c>
      <c r="J8" s="797"/>
      <c r="K8" s="797"/>
      <c r="L8" s="830" t="str">
        <f>Detail!K26</f>
        <v>Local: City/County Funding</v>
      </c>
      <c r="M8" s="831"/>
      <c r="N8" s="318"/>
    </row>
    <row r="9" spans="2:21" ht="17.25" customHeight="1">
      <c r="B9" s="318"/>
      <c r="C9" s="796" t="s">
        <v>215</v>
      </c>
      <c r="D9" s="797"/>
      <c r="E9" s="353"/>
      <c r="F9" s="832">
        <f>Detail!T26</f>
        <v>125</v>
      </c>
      <c r="G9" s="820"/>
      <c r="H9" s="357"/>
      <c r="I9" s="796" t="s">
        <v>185</v>
      </c>
      <c r="J9" s="797"/>
      <c r="K9" s="797"/>
      <c r="L9" s="830" t="str">
        <f>Detail!L26</f>
        <v>Local: City/County Funding</v>
      </c>
      <c r="M9" s="831"/>
      <c r="N9" s="318"/>
    </row>
    <row r="10" spans="2:21" ht="17.25" customHeight="1">
      <c r="B10" s="318"/>
      <c r="C10" s="796" t="s">
        <v>216</v>
      </c>
      <c r="D10" s="797"/>
      <c r="E10" s="352"/>
      <c r="F10" s="819" t="str">
        <f>Detail!V26</f>
        <v>Family</v>
      </c>
      <c r="G10" s="820"/>
      <c r="H10" s="357"/>
      <c r="I10" s="796" t="s">
        <v>44</v>
      </c>
      <c r="J10" s="797"/>
      <c r="K10" s="797"/>
      <c r="L10" s="800">
        <f>Detail!AB26</f>
        <v>52200000</v>
      </c>
      <c r="M10" s="801"/>
      <c r="N10" s="318"/>
    </row>
    <row r="11" spans="2:21" ht="17.25" customHeight="1">
      <c r="B11" s="318"/>
      <c r="C11" s="361"/>
      <c r="D11" s="362"/>
      <c r="E11" s="352"/>
      <c r="F11" s="819" t="str">
        <f>Detail!W26</f>
        <v>Workforce</v>
      </c>
      <c r="G11" s="820"/>
      <c r="H11" s="357"/>
      <c r="I11" s="796" t="s">
        <v>602</v>
      </c>
      <c r="J11" s="797"/>
      <c r="K11" s="510"/>
      <c r="L11" s="828" t="str">
        <f>Detail!AG26</f>
        <v>TBD</v>
      </c>
      <c r="M11" s="829"/>
      <c r="N11" s="318"/>
    </row>
    <row r="12" spans="2:21" ht="35.25" customHeight="1">
      <c r="B12" s="318"/>
      <c r="C12" s="361"/>
      <c r="D12" s="362"/>
      <c r="E12" s="352"/>
      <c r="F12" s="819" t="str">
        <f>Detail!X26</f>
        <v>Vets</v>
      </c>
      <c r="G12" s="820"/>
      <c r="H12" s="357"/>
      <c r="I12" s="796" t="s">
        <v>603</v>
      </c>
      <c r="J12" s="797"/>
      <c r="K12" s="797"/>
      <c r="L12" s="825" t="str">
        <f>Detail!N26</f>
        <v>Self Generated at Closing</v>
      </c>
      <c r="M12" s="826"/>
      <c r="N12" s="318"/>
    </row>
    <row r="13" spans="2:21" ht="17.25" customHeight="1">
      <c r="B13" s="318"/>
      <c r="C13" s="796" t="s">
        <v>525</v>
      </c>
      <c r="D13" s="797"/>
      <c r="E13" s="354"/>
      <c r="F13" s="827" t="str">
        <f>Detail!AM26</f>
        <v>MHMG</v>
      </c>
      <c r="G13" s="820"/>
      <c r="H13" s="357"/>
      <c r="I13" s="796" t="s">
        <v>256</v>
      </c>
      <c r="J13" s="797"/>
      <c r="K13" s="797"/>
      <c r="L13" s="800">
        <f>Detail!AC26</f>
        <v>17540000</v>
      </c>
      <c r="M13" s="801"/>
      <c r="N13" s="318"/>
    </row>
    <row r="14" spans="2:21" ht="17.25" customHeight="1">
      <c r="B14" s="318"/>
      <c r="C14" s="796" t="s">
        <v>172</v>
      </c>
      <c r="D14" s="797"/>
      <c r="E14" s="352"/>
      <c r="F14" s="819" t="str">
        <f>Detail!Z26</f>
        <v>Service Coordination</v>
      </c>
      <c r="G14" s="820"/>
      <c r="H14" s="357"/>
      <c r="I14" s="796" t="s">
        <v>257</v>
      </c>
      <c r="J14" s="797"/>
      <c r="K14" s="797"/>
      <c r="L14" s="800">
        <f>Detail!AF26</f>
        <v>15786000</v>
      </c>
      <c r="M14" s="801"/>
      <c r="N14" s="318"/>
    </row>
    <row r="15" spans="2:21" ht="17.25" customHeight="1" thickBot="1">
      <c r="B15" s="318"/>
      <c r="C15" s="796" t="s">
        <v>217</v>
      </c>
      <c r="D15" s="797"/>
      <c r="E15" s="355"/>
      <c r="F15" s="819" t="str">
        <f>Detail!AA26</f>
        <v>TBD</v>
      </c>
      <c r="G15" s="820"/>
      <c r="H15" s="357"/>
      <c r="I15" s="821" t="s">
        <v>255</v>
      </c>
      <c r="J15" s="822"/>
      <c r="K15" s="822"/>
      <c r="L15" s="823">
        <f>Detail!AD26</f>
        <v>1754000</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Detail!AH26</f>
        <v>5176969</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Detail!AJ26</f>
        <v>3882726.75</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Detail!AI26</f>
        <v>1294242.25</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7.25" customHeight="1" thickTop="1">
      <c r="B21" s="320"/>
      <c r="C21" s="804" t="s">
        <v>46</v>
      </c>
      <c r="D21" s="805"/>
      <c r="E21" s="349"/>
      <c r="F21" s="806" t="str">
        <f>Detail!F26</f>
        <v>Prospect</v>
      </c>
      <c r="G21" s="807"/>
      <c r="H21" s="359"/>
      <c r="I21" s="804" t="s">
        <v>226</v>
      </c>
      <c r="J21" s="805"/>
      <c r="K21" s="805"/>
      <c r="L21" s="808">
        <f>Detail!Q26</f>
        <v>0</v>
      </c>
      <c r="M21" s="809"/>
      <c r="N21" s="320"/>
    </row>
    <row r="22" spans="2:21" s="88" customFormat="1" ht="17.25" customHeight="1">
      <c r="B22" s="320"/>
      <c r="C22" s="796" t="s">
        <v>223</v>
      </c>
      <c r="D22" s="797"/>
      <c r="E22" s="348"/>
      <c r="F22" s="798">
        <f>Detail!P26</f>
        <v>41244</v>
      </c>
      <c r="G22" s="799"/>
      <c r="H22" s="359"/>
      <c r="I22" s="796" t="s">
        <v>227</v>
      </c>
      <c r="J22" s="797"/>
      <c r="K22" s="797"/>
      <c r="L22" s="800">
        <f>Detail!AO26+Detail!AP26+Detail!AQ26+Detail!AR26</f>
        <v>0</v>
      </c>
      <c r="M22" s="801"/>
      <c r="N22" s="320"/>
    </row>
    <row r="23" spans="2:21" s="88" customFormat="1" ht="17.25" customHeight="1">
      <c r="B23" s="320"/>
      <c r="C23" s="796" t="s">
        <v>224</v>
      </c>
      <c r="D23" s="797"/>
      <c r="E23" s="348"/>
      <c r="F23" s="798">
        <f>Detail!R26</f>
        <v>41244</v>
      </c>
      <c r="G23" s="799"/>
      <c r="H23" s="359"/>
      <c r="I23" s="796" t="s">
        <v>228</v>
      </c>
      <c r="J23" s="797"/>
      <c r="K23" s="797"/>
      <c r="L23" s="800">
        <f>Detail!BG26</f>
        <v>485341</v>
      </c>
      <c r="M23" s="801"/>
      <c r="N23" s="320"/>
    </row>
    <row r="24" spans="2:21" s="88" customFormat="1" ht="17.25" customHeight="1" thickBot="1">
      <c r="B24" s="320"/>
      <c r="C24" s="778" t="s">
        <v>225</v>
      </c>
      <c r="D24" s="779"/>
      <c r="E24" s="511"/>
      <c r="F24" s="780">
        <f>Detail!S26</f>
        <v>41883</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c r="P27" s="593" t="s">
        <v>747</v>
      </c>
    </row>
    <row r="28" spans="2:21" s="88" customFormat="1" ht="27.75" customHeight="1">
      <c r="B28" s="320"/>
      <c r="C28" s="784"/>
      <c r="D28" s="785"/>
      <c r="E28" s="785"/>
      <c r="F28" s="785"/>
      <c r="G28" s="785"/>
      <c r="H28" s="785"/>
      <c r="I28" s="785"/>
      <c r="J28" s="785"/>
      <c r="K28" s="785"/>
      <c r="L28" s="785"/>
      <c r="M28" s="786"/>
      <c r="N28" s="320"/>
      <c r="P28" s="593" t="s">
        <v>748</v>
      </c>
    </row>
    <row r="29" spans="2:21" s="88" customFormat="1" ht="27.75" customHeight="1">
      <c r="B29" s="320"/>
      <c r="C29" s="784"/>
      <c r="D29" s="785"/>
      <c r="E29" s="785"/>
      <c r="F29" s="785"/>
      <c r="G29" s="785"/>
      <c r="H29" s="785"/>
      <c r="I29" s="785"/>
      <c r="J29" s="785"/>
      <c r="K29" s="785"/>
      <c r="L29" s="785"/>
      <c r="M29" s="786"/>
      <c r="N29" s="320"/>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 xml:space="preserve">26th &amp; Kostner/Keating </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c r="B38" s="322"/>
      <c r="C38" s="792" t="s">
        <v>514</v>
      </c>
      <c r="D38" s="793"/>
      <c r="E38" s="344"/>
      <c r="F38" s="368" t="str">
        <f>I92</f>
        <v>TBD</v>
      </c>
      <c r="G38" s="368" t="str">
        <f>J92</f>
        <v>TBD</v>
      </c>
      <c r="H38" s="794" t="s">
        <v>607</v>
      </c>
      <c r="I38" s="794"/>
      <c r="J38" s="794"/>
      <c r="K38" s="794"/>
      <c r="L38" s="794"/>
      <c r="M38" s="795"/>
      <c r="N38" s="322"/>
    </row>
    <row r="39" spans="2:19" s="300" customFormat="1" ht="12.75" customHeight="1">
      <c r="B39" s="322"/>
      <c r="C39" s="774" t="s">
        <v>516</v>
      </c>
      <c r="D39" s="775"/>
      <c r="E39" s="506"/>
      <c r="F39" s="368" t="str">
        <f>I94</f>
        <v>TBD</v>
      </c>
      <c r="G39" s="369" t="str">
        <f>J94</f>
        <v>TBD</v>
      </c>
      <c r="H39" s="772"/>
      <c r="I39" s="772"/>
      <c r="J39" s="772"/>
      <c r="K39" s="772"/>
      <c r="L39" s="772"/>
      <c r="M39" s="773"/>
      <c r="N39" s="322"/>
    </row>
    <row r="40" spans="2:19" s="300" customFormat="1">
      <c r="B40" s="322"/>
      <c r="C40" s="774" t="s">
        <v>344</v>
      </c>
      <c r="D40" s="775"/>
      <c r="E40" s="506"/>
      <c r="F40" s="368" t="str">
        <f>I96</f>
        <v>TBD</v>
      </c>
      <c r="G40" s="368" t="str">
        <f>J96</f>
        <v>TBD</v>
      </c>
      <c r="H40" s="772"/>
      <c r="I40" s="772"/>
      <c r="J40" s="772"/>
      <c r="K40" s="772"/>
      <c r="L40" s="772"/>
      <c r="M40" s="773"/>
      <c r="N40" s="322"/>
    </row>
    <row r="41" spans="2:19" s="300" customFormat="1" ht="12.75" customHeight="1">
      <c r="B41" s="322"/>
      <c r="C41" s="774" t="s">
        <v>535</v>
      </c>
      <c r="D41" s="775"/>
      <c r="E41" s="506"/>
      <c r="F41" s="368" t="str">
        <f>'26th &amp; Kostner'!I102</f>
        <v>TBD</v>
      </c>
      <c r="G41" s="368" t="str">
        <f>J102</f>
        <v>TBD</v>
      </c>
      <c r="H41" s="772" t="s">
        <v>608</v>
      </c>
      <c r="I41" s="772"/>
      <c r="J41" s="772"/>
      <c r="K41" s="772"/>
      <c r="L41" s="772"/>
      <c r="M41" s="773"/>
      <c r="N41" s="322"/>
      <c r="P41" s="358"/>
      <c r="Q41" s="358"/>
      <c r="R41" s="358"/>
      <c r="S41" s="358"/>
    </row>
    <row r="42" spans="2:19" s="300" customFormat="1" ht="51" customHeight="1">
      <c r="B42" s="322"/>
      <c r="C42" s="774" t="s">
        <v>536</v>
      </c>
      <c r="D42" s="775"/>
      <c r="E42" s="506"/>
      <c r="F42" s="368" t="str">
        <f>I110</f>
        <v>TBD</v>
      </c>
      <c r="G42" s="368" t="str">
        <f>J110</f>
        <v>TBD</v>
      </c>
      <c r="H42" s="772" t="s">
        <v>609</v>
      </c>
      <c r="I42" s="772"/>
      <c r="J42" s="772"/>
      <c r="K42" s="772"/>
      <c r="L42" s="772"/>
      <c r="M42" s="773"/>
      <c r="N42" s="322"/>
      <c r="P42" s="358"/>
      <c r="Q42" s="358"/>
      <c r="R42" s="358"/>
      <c r="S42" s="358"/>
    </row>
    <row r="43" spans="2:19" s="300" customFormat="1">
      <c r="B43" s="322"/>
      <c r="C43" s="774" t="s">
        <v>517</v>
      </c>
      <c r="D43" s="775"/>
      <c r="E43" s="506"/>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06"/>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06"/>
      <c r="F45" s="368" t="str">
        <f>I200</f>
        <v>TBD</v>
      </c>
      <c r="G45" s="368" t="str">
        <f>J200</f>
        <v>TBD</v>
      </c>
      <c r="H45" s="772"/>
      <c r="I45" s="772"/>
      <c r="J45" s="772"/>
      <c r="K45" s="772"/>
      <c r="L45" s="772"/>
      <c r="M45" s="773"/>
      <c r="N45" s="322"/>
    </row>
    <row r="46" spans="2:19" s="300" customFormat="1">
      <c r="B46" s="322"/>
      <c r="C46" s="774" t="s">
        <v>538</v>
      </c>
      <c r="D46" s="775"/>
      <c r="E46" s="506"/>
      <c r="F46" s="368" t="str">
        <f>I232</f>
        <v>TBD</v>
      </c>
      <c r="G46" s="368" t="str">
        <f>J232</f>
        <v>TBD</v>
      </c>
      <c r="H46" s="772"/>
      <c r="I46" s="772"/>
      <c r="J46" s="772"/>
      <c r="K46" s="772"/>
      <c r="L46" s="772"/>
      <c r="M46" s="773"/>
      <c r="N46" s="322"/>
    </row>
    <row r="47" spans="2:19" s="300" customFormat="1">
      <c r="B47" s="322"/>
      <c r="C47" s="774" t="s">
        <v>55</v>
      </c>
      <c r="D47" s="775"/>
      <c r="E47" s="506"/>
      <c r="F47" s="368">
        <f>I225</f>
        <v>41258</v>
      </c>
      <c r="G47" s="368" t="str">
        <f>J225</f>
        <v>TBD</v>
      </c>
      <c r="H47" s="772"/>
      <c r="I47" s="772"/>
      <c r="J47" s="772"/>
      <c r="K47" s="772"/>
      <c r="L47" s="772"/>
      <c r="M47" s="773"/>
      <c r="N47" s="322"/>
    </row>
    <row r="48" spans="2:19" s="300" customFormat="1">
      <c r="B48" s="322"/>
      <c r="C48" s="774" t="s">
        <v>346</v>
      </c>
      <c r="D48" s="775"/>
      <c r="E48" s="506"/>
      <c r="F48" s="368">
        <f>I235</f>
        <v>41274</v>
      </c>
      <c r="G48" s="368" t="str">
        <f>J235</f>
        <v>TBD</v>
      </c>
      <c r="H48" s="772"/>
      <c r="I48" s="772"/>
      <c r="J48" s="772"/>
      <c r="K48" s="772"/>
      <c r="L48" s="772"/>
      <c r="M48" s="773"/>
      <c r="N48" s="322"/>
    </row>
    <row r="49" spans="2:14" s="300" customFormat="1">
      <c r="B49" s="322"/>
      <c r="C49" s="774" t="s">
        <v>347</v>
      </c>
      <c r="D49" s="775"/>
      <c r="E49" s="506"/>
      <c r="F49" s="368" t="str">
        <f>I237</f>
        <v>TBD</v>
      </c>
      <c r="G49" s="368" t="str">
        <f>J237</f>
        <v>TBD</v>
      </c>
      <c r="H49" s="772"/>
      <c r="I49" s="772"/>
      <c r="J49" s="772"/>
      <c r="K49" s="772"/>
      <c r="L49" s="772"/>
      <c r="M49" s="773"/>
      <c r="N49" s="322"/>
    </row>
    <row r="50" spans="2:14" s="300" customFormat="1">
      <c r="B50" s="322"/>
      <c r="C50" s="774" t="s">
        <v>348</v>
      </c>
      <c r="D50" s="775"/>
      <c r="E50" s="506"/>
      <c r="F50" s="368" t="str">
        <f>I254</f>
        <v>TBD</v>
      </c>
      <c r="G50" s="368" t="str">
        <f>J254</f>
        <v>TBD</v>
      </c>
      <c r="H50" s="772"/>
      <c r="I50" s="772"/>
      <c r="J50" s="772"/>
      <c r="K50" s="772"/>
      <c r="L50" s="772"/>
      <c r="M50" s="773"/>
      <c r="N50" s="322"/>
    </row>
    <row r="51" spans="2:14" s="300" customFormat="1">
      <c r="B51" s="322"/>
      <c r="C51" s="774" t="s">
        <v>65</v>
      </c>
      <c r="D51" s="775"/>
      <c r="E51" s="506"/>
      <c r="F51" s="368" t="str">
        <f>I255</f>
        <v>TBD</v>
      </c>
      <c r="G51" s="368" t="str">
        <f>J255</f>
        <v>TBD</v>
      </c>
      <c r="H51" s="772"/>
      <c r="I51" s="772"/>
      <c r="J51" s="772"/>
      <c r="K51" s="772"/>
      <c r="L51" s="772"/>
      <c r="M51" s="773"/>
      <c r="N51" s="322"/>
    </row>
    <row r="52" spans="2:14" s="300" customFormat="1">
      <c r="B52" s="322"/>
      <c r="C52" s="774" t="s">
        <v>540</v>
      </c>
      <c r="D52" s="775"/>
      <c r="E52" s="506"/>
      <c r="F52" s="368" t="str">
        <f>I273</f>
        <v>TBD</v>
      </c>
      <c r="G52" s="368" t="str">
        <f>J273</f>
        <v>TBD</v>
      </c>
      <c r="H52" s="772"/>
      <c r="I52" s="772"/>
      <c r="J52" s="772"/>
      <c r="K52" s="772"/>
      <c r="L52" s="772"/>
      <c r="M52" s="773"/>
      <c r="N52" s="322"/>
    </row>
    <row r="53" spans="2:14" s="300" customFormat="1">
      <c r="B53" s="322"/>
      <c r="C53" s="774" t="s">
        <v>542</v>
      </c>
      <c r="D53" s="775"/>
      <c r="E53" s="506"/>
      <c r="F53" s="368" t="str">
        <f>I276</f>
        <v>TBD</v>
      </c>
      <c r="G53" s="368" t="str">
        <f>J276</f>
        <v>TBD</v>
      </c>
      <c r="H53" s="772"/>
      <c r="I53" s="772"/>
      <c r="J53" s="772"/>
      <c r="K53" s="772"/>
      <c r="L53" s="772"/>
      <c r="M53" s="773"/>
      <c r="N53" s="322"/>
    </row>
    <row r="54" spans="2:14" s="300" customFormat="1">
      <c r="B54" s="322"/>
      <c r="C54" s="774">
        <v>8609</v>
      </c>
      <c r="D54" s="775"/>
      <c r="E54" s="506"/>
      <c r="F54" s="368" t="str">
        <f>I289</f>
        <v>TBD</v>
      </c>
      <c r="G54" s="368" t="str">
        <f>J289</f>
        <v>TBD</v>
      </c>
      <c r="H54" s="772"/>
      <c r="I54" s="772"/>
      <c r="J54" s="772"/>
      <c r="K54" s="772"/>
      <c r="L54" s="772"/>
      <c r="M54" s="773"/>
      <c r="N54" s="322"/>
    </row>
    <row r="55" spans="2:14" s="300" customFormat="1" ht="15" customHeigh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507"/>
      <c r="F56" s="338"/>
      <c r="G56" s="338"/>
      <c r="H56" s="772"/>
      <c r="I56" s="772"/>
      <c r="J56" s="772"/>
      <c r="K56" s="772"/>
      <c r="L56" s="772"/>
      <c r="M56" s="773"/>
      <c r="N56" s="322"/>
    </row>
    <row r="57" spans="2:14" s="300" customFormat="1" ht="14">
      <c r="B57" s="322"/>
      <c r="C57" s="770" t="s">
        <v>522</v>
      </c>
      <c r="D57" s="771"/>
      <c r="E57" s="507"/>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 xml:space="preserve">26th &amp; Kostner/Keating </v>
      </c>
      <c r="J63" s="769"/>
      <c r="K63" s="17"/>
      <c r="L63" s="17"/>
      <c r="M63" s="8"/>
      <c r="N63" s="17"/>
    </row>
    <row r="64" spans="2:14" ht="16" thickBot="1">
      <c r="C64" s="308" t="s">
        <v>351</v>
      </c>
      <c r="D64" s="308"/>
      <c r="E64" s="308"/>
      <c r="F64" s="308"/>
      <c r="H64" s="363"/>
      <c r="I64" s="768" t="str">
        <f>F7</f>
        <v>Chicago</v>
      </c>
      <c r="J64" s="769"/>
      <c r="K64" s="17"/>
      <c r="L64" s="17"/>
      <c r="M64" s="8"/>
      <c r="N64" s="17"/>
    </row>
    <row r="65" spans="2:15" ht="16" thickBot="1">
      <c r="C65" s="308" t="s">
        <v>352</v>
      </c>
      <c r="D65" s="308"/>
      <c r="E65" s="308"/>
      <c r="F65" s="308"/>
      <c r="H65" s="363"/>
      <c r="I65" s="768" t="str">
        <f>C3</f>
        <v xml:space="preserve"> </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t="s">
        <v>14</v>
      </c>
      <c r="J70" s="332" t="s">
        <v>14</v>
      </c>
    </row>
    <row r="71" spans="2:15">
      <c r="C71" s="2" t="s">
        <v>356</v>
      </c>
      <c r="D71" s="2"/>
      <c r="E71" s="2"/>
      <c r="F71" s="2"/>
      <c r="G71" s="2"/>
      <c r="H71" s="2"/>
      <c r="I71" s="332" t="s">
        <v>14</v>
      </c>
      <c r="J71" s="332" t="s">
        <v>14</v>
      </c>
    </row>
    <row r="72" spans="2:15">
      <c r="C72" s="2" t="s">
        <v>357</v>
      </c>
      <c r="D72" s="2"/>
      <c r="E72" s="2"/>
      <c r="F72" s="2"/>
      <c r="G72" s="2"/>
      <c r="H72" s="2"/>
      <c r="I72" s="332" t="s">
        <v>14</v>
      </c>
      <c r="J72" s="332" t="s">
        <v>14</v>
      </c>
    </row>
    <row r="73" spans="2:15">
      <c r="C73" s="2" t="s">
        <v>358</v>
      </c>
      <c r="D73" s="2"/>
      <c r="E73" s="2"/>
      <c r="F73" s="2"/>
      <c r="G73" s="2"/>
      <c r="H73" s="2"/>
      <c r="I73" s="332" t="s">
        <v>14</v>
      </c>
      <c r="J73" s="332" t="s">
        <v>14</v>
      </c>
    </row>
    <row r="74" spans="2:15">
      <c r="C74" s="312" t="s">
        <v>359</v>
      </c>
      <c r="D74" s="312"/>
      <c r="E74" s="312"/>
      <c r="F74" s="312"/>
      <c r="G74" s="312"/>
      <c r="H74" s="312"/>
      <c r="I74" s="332" t="s">
        <v>14</v>
      </c>
      <c r="J74" s="332" t="s">
        <v>14</v>
      </c>
    </row>
    <row r="75" spans="2:15">
      <c r="C75" s="2" t="s">
        <v>360</v>
      </c>
      <c r="D75" s="2"/>
      <c r="E75" s="2"/>
      <c r="F75" s="312"/>
      <c r="G75" s="312"/>
      <c r="H75" s="312"/>
      <c r="I75" s="332" t="s">
        <v>14</v>
      </c>
      <c r="J75" s="332" t="s">
        <v>14</v>
      </c>
    </row>
    <row r="76" spans="2:15">
      <c r="C76" s="2" t="s">
        <v>361</v>
      </c>
      <c r="D76" s="2"/>
      <c r="E76" s="2"/>
      <c r="F76" s="312"/>
      <c r="G76" s="312"/>
      <c r="H76" s="312"/>
      <c r="I76" s="332" t="s">
        <v>14</v>
      </c>
      <c r="J76" s="332" t="s">
        <v>14</v>
      </c>
    </row>
    <row r="77" spans="2:15">
      <c r="C77" s="2" t="s">
        <v>362</v>
      </c>
      <c r="D77" s="2"/>
      <c r="E77" s="2"/>
      <c r="F77" s="312"/>
      <c r="G77" s="312"/>
      <c r="H77" s="312"/>
      <c r="I77" s="534"/>
      <c r="J77" s="534"/>
    </row>
    <row r="78" spans="2:15">
      <c r="C78" s="312" t="s">
        <v>363</v>
      </c>
      <c r="D78" s="312"/>
      <c r="E78" s="312"/>
      <c r="F78" s="312"/>
      <c r="G78" s="312"/>
      <c r="H78" s="312"/>
      <c r="I78" s="332" t="s">
        <v>14</v>
      </c>
      <c r="J78" s="332" t="s">
        <v>14</v>
      </c>
    </row>
    <row r="79" spans="2:15">
      <c r="C79" s="312" t="s">
        <v>364</v>
      </c>
      <c r="D79" s="312"/>
      <c r="E79" s="312"/>
      <c r="F79" s="312"/>
      <c r="G79" s="312"/>
      <c r="H79" s="312"/>
      <c r="I79" s="332" t="s">
        <v>14</v>
      </c>
      <c r="J79" s="332" t="s">
        <v>14</v>
      </c>
    </row>
    <row r="80" spans="2:15">
      <c r="C80" s="312" t="s">
        <v>365</v>
      </c>
      <c r="D80" s="312"/>
      <c r="E80" s="312"/>
      <c r="F80" s="312"/>
      <c r="G80" s="312"/>
      <c r="H80" s="312"/>
      <c r="I80" s="332" t="s">
        <v>14</v>
      </c>
      <c r="J80" s="332" t="s">
        <v>14</v>
      </c>
    </row>
    <row r="81" spans="2:10">
      <c r="C81" s="315" t="s">
        <v>366</v>
      </c>
      <c r="D81" s="315"/>
      <c r="E81" s="315"/>
      <c r="F81" s="314"/>
      <c r="G81" s="314"/>
      <c r="H81" s="314"/>
      <c r="I81" s="332" t="s">
        <v>14</v>
      </c>
      <c r="J81" s="332" t="s">
        <v>14</v>
      </c>
    </row>
    <row r="82" spans="2:10">
      <c r="C82" s="2" t="s">
        <v>367</v>
      </c>
      <c r="D82" s="2"/>
      <c r="E82" s="2"/>
      <c r="F82" s="312"/>
      <c r="G82" s="312"/>
      <c r="H82" s="312"/>
      <c r="I82" s="534"/>
      <c r="J82" s="534"/>
    </row>
    <row r="83" spans="2:10">
      <c r="C83" s="312" t="s">
        <v>368</v>
      </c>
      <c r="D83" s="312"/>
      <c r="E83" s="312"/>
      <c r="F83" s="312"/>
      <c r="G83" s="312"/>
      <c r="H83" s="312"/>
      <c r="I83" s="332" t="s">
        <v>14</v>
      </c>
      <c r="J83" s="332" t="s">
        <v>14</v>
      </c>
    </row>
    <row r="84" spans="2:10">
      <c r="C84" s="312" t="s">
        <v>369</v>
      </c>
      <c r="D84" s="312"/>
      <c r="E84" s="312"/>
      <c r="F84" s="312"/>
      <c r="G84" s="312"/>
      <c r="H84" s="312"/>
      <c r="I84" s="329">
        <v>40968</v>
      </c>
      <c r="J84" s="332" t="s">
        <v>14</v>
      </c>
    </row>
    <row r="85" spans="2:10">
      <c r="C85" s="312" t="s">
        <v>370</v>
      </c>
      <c r="D85" s="312"/>
      <c r="E85" s="312"/>
      <c r="F85" s="312"/>
      <c r="G85" s="312"/>
      <c r="H85" s="312"/>
      <c r="I85" s="332" t="s">
        <v>14</v>
      </c>
      <c r="J85" s="332" t="s">
        <v>14</v>
      </c>
    </row>
    <row r="86" spans="2:10">
      <c r="C86" s="2" t="s">
        <v>371</v>
      </c>
      <c r="D86" s="2"/>
      <c r="E86" s="2"/>
      <c r="F86" s="312"/>
      <c r="G86" s="312"/>
      <c r="H86" s="312"/>
      <c r="I86" s="332" t="s">
        <v>14</v>
      </c>
      <c r="J86" s="332" t="s">
        <v>14</v>
      </c>
    </row>
    <row r="87" spans="2:10">
      <c r="C87" s="2" t="s">
        <v>372</v>
      </c>
      <c r="D87" s="2"/>
      <c r="E87" s="2"/>
      <c r="F87" s="312"/>
      <c r="G87" s="312"/>
      <c r="H87" s="312"/>
      <c r="I87" s="332" t="s">
        <v>14</v>
      </c>
      <c r="J87" s="332" t="s">
        <v>14</v>
      </c>
    </row>
    <row r="88" spans="2:10">
      <c r="C88" s="2" t="s">
        <v>373</v>
      </c>
      <c r="D88" s="2"/>
      <c r="E88" s="2"/>
      <c r="F88" s="312"/>
      <c r="G88" s="312"/>
      <c r="H88" s="312"/>
      <c r="I88" s="332" t="s">
        <v>14</v>
      </c>
      <c r="J88" s="332" t="s">
        <v>14</v>
      </c>
    </row>
    <row r="89" spans="2:10">
      <c r="C89" s="2" t="s">
        <v>374</v>
      </c>
      <c r="D89" s="2"/>
      <c r="E89" s="2"/>
      <c r="F89" s="312"/>
      <c r="G89" s="312"/>
      <c r="H89" s="312"/>
      <c r="I89" s="332" t="s">
        <v>14</v>
      </c>
      <c r="J89" s="332" t="s">
        <v>14</v>
      </c>
    </row>
    <row r="90" spans="2:10">
      <c r="C90" s="2" t="s">
        <v>375</v>
      </c>
      <c r="D90" s="2"/>
      <c r="E90" s="2"/>
      <c r="F90" s="312"/>
      <c r="G90" s="312"/>
      <c r="H90" s="312"/>
      <c r="I90" s="332" t="s">
        <v>14</v>
      </c>
      <c r="J90" s="332" t="s">
        <v>14</v>
      </c>
    </row>
    <row r="91" spans="2:10">
      <c r="C91" s="2" t="s">
        <v>376</v>
      </c>
      <c r="D91" s="2"/>
      <c r="E91" s="2"/>
      <c r="F91" s="312"/>
      <c r="G91" s="312"/>
      <c r="H91" s="312"/>
      <c r="I91" s="332" t="s">
        <v>14</v>
      </c>
      <c r="J91" s="332" t="s">
        <v>14</v>
      </c>
    </row>
    <row r="92" spans="2:10">
      <c r="C92" s="308" t="s">
        <v>377</v>
      </c>
      <c r="D92" s="308"/>
      <c r="E92" s="308"/>
      <c r="F92" s="312"/>
      <c r="G92" s="312"/>
      <c r="H92" s="312"/>
      <c r="I92" s="364" t="s">
        <v>14</v>
      </c>
      <c r="J92" s="364" t="s">
        <v>14</v>
      </c>
    </row>
    <row r="93" spans="2:10">
      <c r="C93" s="2"/>
      <c r="D93" s="2"/>
      <c r="E93" s="2"/>
      <c r="F93" s="312"/>
      <c r="G93" s="312"/>
      <c r="H93" s="312"/>
      <c r="I93" s="331"/>
      <c r="J93" s="331"/>
    </row>
    <row r="94" spans="2:10">
      <c r="B94" s="309" t="s">
        <v>378</v>
      </c>
      <c r="C94" s="308"/>
      <c r="D94" s="308"/>
      <c r="E94" s="308"/>
      <c r="F94" s="313"/>
      <c r="G94" s="313"/>
      <c r="H94" s="313"/>
      <c r="I94" s="364" t="s">
        <v>14</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14</v>
      </c>
      <c r="J99" s="332" t="s">
        <v>14</v>
      </c>
    </row>
    <row r="100" spans="2:10">
      <c r="C100" s="2" t="s">
        <v>381</v>
      </c>
      <c r="D100" s="2"/>
      <c r="E100" s="2"/>
      <c r="F100" s="312"/>
      <c r="G100" s="312"/>
      <c r="H100" s="312"/>
      <c r="I100" s="332" t="s">
        <v>14</v>
      </c>
      <c r="J100" s="332" t="s">
        <v>14</v>
      </c>
    </row>
    <row r="101" spans="2:10">
      <c r="C101" s="2" t="s">
        <v>382</v>
      </c>
      <c r="D101" s="2"/>
      <c r="E101" s="2"/>
      <c r="F101" s="312"/>
      <c r="G101" s="312"/>
      <c r="H101" s="312"/>
      <c r="I101" s="332">
        <v>40998</v>
      </c>
      <c r="J101" s="332" t="s">
        <v>14</v>
      </c>
    </row>
    <row r="102" spans="2:10">
      <c r="C102" s="308" t="s">
        <v>534</v>
      </c>
      <c r="D102" s="2"/>
      <c r="E102" s="2"/>
      <c r="F102" s="312"/>
      <c r="G102" s="312"/>
      <c r="H102" s="312"/>
      <c r="I102" s="364" t="s">
        <v>14</v>
      </c>
      <c r="J102" s="364" t="s">
        <v>14</v>
      </c>
    </row>
    <row r="103" spans="2:10">
      <c r="C103" s="2" t="s">
        <v>524</v>
      </c>
      <c r="D103" s="2"/>
      <c r="E103" s="2"/>
      <c r="F103" s="312"/>
      <c r="G103" s="312"/>
      <c r="H103" s="312"/>
      <c r="I103" s="332">
        <v>40968</v>
      </c>
      <c r="J103" s="332" t="s">
        <v>14</v>
      </c>
    </row>
    <row r="104" spans="2:10">
      <c r="C104" s="2" t="s">
        <v>383</v>
      </c>
      <c r="D104" s="2"/>
      <c r="E104" s="2"/>
      <c r="F104" s="312"/>
      <c r="G104" s="312"/>
      <c r="H104" s="312"/>
      <c r="I104" s="332" t="s">
        <v>14</v>
      </c>
      <c r="J104" s="332" t="s">
        <v>14</v>
      </c>
    </row>
    <row r="105" spans="2:10">
      <c r="C105" s="2" t="s">
        <v>384</v>
      </c>
      <c r="D105" s="2"/>
      <c r="E105" s="2"/>
      <c r="F105" s="312"/>
      <c r="G105" s="312"/>
      <c r="H105" s="312"/>
      <c r="I105" s="332" t="s">
        <v>14</v>
      </c>
      <c r="J105" s="332" t="s">
        <v>14</v>
      </c>
    </row>
    <row r="106" spans="2:10">
      <c r="C106" s="2" t="s">
        <v>544</v>
      </c>
      <c r="D106" s="2"/>
      <c r="E106" s="2"/>
      <c r="F106" s="312"/>
      <c r="G106" s="312"/>
      <c r="H106" s="312"/>
      <c r="I106" s="332">
        <v>41029</v>
      </c>
      <c r="J106" s="332" t="s">
        <v>14</v>
      </c>
    </row>
    <row r="107" spans="2:10">
      <c r="C107" s="2" t="s">
        <v>385</v>
      </c>
      <c r="D107" s="2"/>
      <c r="E107" s="2"/>
      <c r="F107" s="312"/>
      <c r="G107" s="312"/>
      <c r="H107" s="312"/>
      <c r="I107" s="332" t="s">
        <v>14</v>
      </c>
      <c r="J107" s="332" t="s">
        <v>14</v>
      </c>
    </row>
    <row r="108" spans="2:10">
      <c r="C108" s="2" t="s">
        <v>386</v>
      </c>
      <c r="D108" s="2"/>
      <c r="E108" s="2"/>
      <c r="F108" s="312"/>
      <c r="G108" s="312"/>
      <c r="H108" s="312"/>
      <c r="I108" s="332" t="s">
        <v>14</v>
      </c>
      <c r="J108" s="332" t="s">
        <v>14</v>
      </c>
    </row>
    <row r="109" spans="2:10">
      <c r="C109" s="2" t="s">
        <v>523</v>
      </c>
      <c r="D109" s="2"/>
      <c r="E109" s="2"/>
      <c r="F109" s="312"/>
      <c r="G109" s="312"/>
      <c r="H109" s="312"/>
      <c r="I109" s="332">
        <v>41090</v>
      </c>
      <c r="J109" s="332" t="s">
        <v>14</v>
      </c>
    </row>
    <row r="110" spans="2:10">
      <c r="C110" s="308" t="s">
        <v>526</v>
      </c>
      <c r="D110" s="2"/>
      <c r="E110" s="2"/>
      <c r="F110" s="312"/>
      <c r="G110" s="312"/>
      <c r="H110" s="312"/>
      <c r="I110" s="364" t="s">
        <v>14</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t="s">
        <v>14</v>
      </c>
      <c r="J115" s="332" t="s">
        <v>14</v>
      </c>
    </row>
    <row r="116" spans="3:10">
      <c r="C116" s="315" t="s">
        <v>342</v>
      </c>
      <c r="D116" s="315"/>
      <c r="E116" s="315"/>
      <c r="F116" s="315"/>
      <c r="G116" s="315"/>
      <c r="H116" s="315"/>
      <c r="I116" s="332" t="s">
        <v>14</v>
      </c>
      <c r="J116" s="332" t="s">
        <v>14</v>
      </c>
    </row>
    <row r="117" spans="3:10">
      <c r="C117" s="315" t="s">
        <v>390</v>
      </c>
      <c r="D117" s="315"/>
      <c r="E117" s="315"/>
      <c r="F117" s="315"/>
      <c r="G117" s="315"/>
      <c r="H117" s="315"/>
      <c r="I117" s="332" t="s">
        <v>14</v>
      </c>
      <c r="J117" s="332" t="s">
        <v>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t="s">
        <v>14</v>
      </c>
      <c r="J120" s="332" t="s">
        <v>14</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534"/>
      <c r="J123" s="534"/>
    </row>
    <row r="124" spans="3:10">
      <c r="C124" s="315" t="s">
        <v>392</v>
      </c>
      <c r="D124" s="315"/>
      <c r="E124" s="315"/>
      <c r="F124" s="315"/>
      <c r="G124" s="315"/>
      <c r="H124" s="315"/>
      <c r="I124" s="329">
        <v>41000</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534"/>
      <c r="J128" s="534"/>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t="s">
        <v>14</v>
      </c>
      <c r="J134" s="332" t="s">
        <v>14</v>
      </c>
    </row>
    <row r="135" spans="2:10">
      <c r="C135" s="2" t="s">
        <v>398</v>
      </c>
      <c r="D135" s="2"/>
      <c r="E135" s="2"/>
      <c r="F135" s="312"/>
      <c r="G135" s="312"/>
      <c r="H135" s="312"/>
      <c r="I135" s="332" t="s">
        <v>14</v>
      </c>
      <c r="J135" s="332" t="s">
        <v>14</v>
      </c>
    </row>
    <row r="136" spans="2:10">
      <c r="C136" s="2" t="s">
        <v>399</v>
      </c>
      <c r="D136" s="2"/>
      <c r="E136" s="2"/>
      <c r="F136" s="312"/>
      <c r="G136" s="312"/>
      <c r="H136" s="312"/>
      <c r="I136" s="332" t="s">
        <v>14</v>
      </c>
      <c r="J136" s="332" t="s">
        <v>14</v>
      </c>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332" t="s">
        <v>14</v>
      </c>
      <c r="J139" s="332" t="s">
        <v>14</v>
      </c>
    </row>
    <row r="140" spans="2:10">
      <c r="C140" s="2" t="s">
        <v>402</v>
      </c>
      <c r="D140" s="2"/>
      <c r="E140" s="2"/>
      <c r="F140" s="312"/>
      <c r="G140" s="312"/>
      <c r="H140" s="312"/>
      <c r="I140" s="332" t="s">
        <v>14</v>
      </c>
      <c r="J140" s="332" t="s">
        <v>14</v>
      </c>
    </row>
    <row r="141" spans="2:10">
      <c r="C141" s="312" t="s">
        <v>403</v>
      </c>
      <c r="D141" s="312"/>
      <c r="E141" s="312"/>
      <c r="F141" s="312"/>
      <c r="G141" s="312"/>
      <c r="H141" s="312"/>
      <c r="I141" s="332" t="s">
        <v>14</v>
      </c>
      <c r="J141" s="332" t="s">
        <v>14</v>
      </c>
    </row>
    <row r="142" spans="2:10">
      <c r="C142" s="312" t="s">
        <v>404</v>
      </c>
      <c r="D142" s="312"/>
      <c r="E142" s="312"/>
      <c r="F142" s="312"/>
      <c r="G142" s="312"/>
      <c r="H142" s="312"/>
      <c r="I142" s="332" t="s">
        <v>14</v>
      </c>
      <c r="J142" s="332" t="s">
        <v>14</v>
      </c>
    </row>
    <row r="143" spans="2:10">
      <c r="C143" s="312" t="s">
        <v>405</v>
      </c>
      <c r="D143" s="312"/>
      <c r="E143" s="312"/>
      <c r="F143" s="312"/>
      <c r="G143" s="312"/>
      <c r="H143" s="312"/>
      <c r="I143" s="332" t="s">
        <v>14</v>
      </c>
      <c r="J143" s="332" t="s">
        <v>14</v>
      </c>
    </row>
    <row r="144" spans="2:10">
      <c r="C144" s="2" t="s">
        <v>406</v>
      </c>
      <c r="D144" s="2"/>
      <c r="E144" s="2"/>
      <c r="F144" s="312"/>
      <c r="G144" s="312"/>
      <c r="H144" s="312"/>
      <c r="I144" s="332" t="s">
        <v>14</v>
      </c>
      <c r="J144" s="332" t="s">
        <v>14</v>
      </c>
    </row>
    <row r="145" spans="3:10">
      <c r="C145" s="2" t="s">
        <v>407</v>
      </c>
      <c r="D145" s="2"/>
      <c r="E145" s="2"/>
      <c r="F145" s="312"/>
      <c r="G145" s="312"/>
      <c r="H145" s="312"/>
      <c r="I145" s="332" t="s">
        <v>14</v>
      </c>
      <c r="J145" s="332" t="s">
        <v>14</v>
      </c>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2" t="s">
        <v>14</v>
      </c>
      <c r="J148" s="332" t="s">
        <v>14</v>
      </c>
    </row>
    <row r="149" spans="3:10">
      <c r="C149" s="312" t="s">
        <v>411</v>
      </c>
      <c r="D149" s="312"/>
      <c r="E149" s="312"/>
      <c r="F149" s="312"/>
      <c r="G149" s="312"/>
      <c r="H149" s="312"/>
      <c r="I149" s="332" t="s">
        <v>14</v>
      </c>
      <c r="J149" s="332" t="s">
        <v>14</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2" t="s">
        <v>14</v>
      </c>
      <c r="J154" s="332" t="s">
        <v>14</v>
      </c>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2" t="s">
        <v>14</v>
      </c>
      <c r="J156" s="332" t="s">
        <v>14</v>
      </c>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2" t="s">
        <v>14</v>
      </c>
      <c r="J162" s="332" t="s">
        <v>14</v>
      </c>
    </row>
    <row r="163" spans="3:10">
      <c r="C163" s="312" t="s">
        <v>425</v>
      </c>
      <c r="D163" s="312"/>
      <c r="E163" s="312"/>
      <c r="F163" s="312"/>
      <c r="G163" s="312"/>
      <c r="H163" s="312"/>
      <c r="I163" s="332" t="s">
        <v>14</v>
      </c>
      <c r="J163" s="332" t="s">
        <v>14</v>
      </c>
    </row>
    <row r="164" spans="3:10">
      <c r="C164" s="312" t="s">
        <v>426</v>
      </c>
      <c r="D164" s="312"/>
      <c r="E164" s="312"/>
      <c r="F164" s="312"/>
      <c r="G164" s="312"/>
      <c r="H164" s="312"/>
      <c r="I164" s="332" t="s">
        <v>14</v>
      </c>
      <c r="J164" s="332" t="s">
        <v>14</v>
      </c>
    </row>
    <row r="165" spans="3:10">
      <c r="C165" s="315" t="s">
        <v>427</v>
      </c>
      <c r="D165" s="315"/>
      <c r="E165" s="315"/>
      <c r="F165" s="315"/>
      <c r="G165" s="315"/>
      <c r="H165" s="315"/>
      <c r="I165" s="332" t="s">
        <v>14</v>
      </c>
      <c r="J165" s="332" t="s">
        <v>14</v>
      </c>
    </row>
    <row r="166" spans="3:10">
      <c r="C166" s="315" t="s">
        <v>428</v>
      </c>
      <c r="D166" s="315"/>
      <c r="E166" s="315"/>
      <c r="F166" s="315"/>
      <c r="G166" s="315"/>
      <c r="H166" s="315"/>
      <c r="I166" s="332" t="s">
        <v>14</v>
      </c>
      <c r="J166" s="332" t="s">
        <v>14</v>
      </c>
    </row>
    <row r="167" spans="3:10">
      <c r="C167" s="312" t="s">
        <v>429</v>
      </c>
      <c r="D167" s="312"/>
      <c r="E167" s="312"/>
      <c r="F167" s="312"/>
      <c r="G167" s="312"/>
      <c r="H167" s="312"/>
      <c r="I167" s="332" t="s">
        <v>14</v>
      </c>
      <c r="J167" s="332" t="s">
        <v>14</v>
      </c>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2" t="s">
        <v>14</v>
      </c>
      <c r="J170" s="332" t="s">
        <v>14</v>
      </c>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2" t="s">
        <v>14</v>
      </c>
      <c r="J173" s="332" t="s">
        <v>14</v>
      </c>
    </row>
    <row r="174" spans="3:10">
      <c r="C174" s="315" t="s">
        <v>432</v>
      </c>
      <c r="D174" s="315"/>
      <c r="E174" s="315"/>
      <c r="F174" s="315"/>
      <c r="G174" s="315"/>
      <c r="H174" s="315"/>
      <c r="I174" s="332" t="s">
        <v>14</v>
      </c>
      <c r="J174" s="332" t="s">
        <v>14</v>
      </c>
    </row>
    <row r="175" spans="3:10">
      <c r="C175" s="315" t="s">
        <v>433</v>
      </c>
      <c r="D175" s="315"/>
      <c r="E175" s="315"/>
      <c r="F175" s="315"/>
      <c r="G175" s="315"/>
      <c r="H175" s="315"/>
      <c r="I175" s="332" t="s">
        <v>14</v>
      </c>
      <c r="J175" s="332" t="s">
        <v>14</v>
      </c>
    </row>
    <row r="176" spans="3:10">
      <c r="C176" s="315" t="s">
        <v>434</v>
      </c>
      <c r="D176" s="315"/>
      <c r="E176" s="315"/>
      <c r="F176" s="315"/>
      <c r="G176" s="315"/>
      <c r="H176" s="315"/>
      <c r="I176" s="332" t="s">
        <v>14</v>
      </c>
      <c r="J176" s="332" t="s">
        <v>14</v>
      </c>
    </row>
    <row r="177" spans="3:10">
      <c r="C177" s="315" t="s">
        <v>435</v>
      </c>
      <c r="D177" s="315"/>
      <c r="E177" s="315"/>
      <c r="F177" s="315"/>
      <c r="G177" s="315"/>
      <c r="H177" s="315"/>
      <c r="I177" s="332" t="s">
        <v>14</v>
      </c>
      <c r="J177" s="332" t="s">
        <v>14</v>
      </c>
    </row>
    <row r="178" spans="3:10">
      <c r="C178" s="310" t="s">
        <v>422</v>
      </c>
      <c r="D178" s="310"/>
      <c r="E178" s="310"/>
      <c r="F178" s="312"/>
      <c r="G178" s="312"/>
      <c r="H178" s="312"/>
      <c r="I178" s="332" t="s">
        <v>14</v>
      </c>
      <c r="J178" s="332" t="s">
        <v>14</v>
      </c>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2" t="s">
        <v>14</v>
      </c>
      <c r="J187" s="332" t="s">
        <v>14</v>
      </c>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2" t="s">
        <v>14</v>
      </c>
      <c r="J193" s="332" t="s">
        <v>14</v>
      </c>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2" t="s">
        <v>14</v>
      </c>
      <c r="J210" s="332" t="s">
        <v>14</v>
      </c>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v>41258</v>
      </c>
      <c r="J225" s="364" t="s">
        <v>14</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332" t="s">
        <v>14</v>
      </c>
    </row>
    <row r="231" spans="2:10">
      <c r="C231" s="312" t="s">
        <v>477</v>
      </c>
      <c r="D231" s="312"/>
      <c r="E231" s="312"/>
      <c r="F231" s="312"/>
      <c r="G231" s="312"/>
      <c r="H231" s="312"/>
      <c r="I231" s="332" t="s">
        <v>14</v>
      </c>
      <c r="J231" s="332" t="s">
        <v>14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v>41274</v>
      </c>
      <c r="J235" s="364" t="s">
        <v>14</v>
      </c>
    </row>
    <row r="236" spans="2:10">
      <c r="C236" s="308" t="s">
        <v>480</v>
      </c>
      <c r="D236" s="2"/>
      <c r="E236" s="2"/>
      <c r="F236" s="312"/>
      <c r="G236" s="312"/>
      <c r="H236" s="312"/>
      <c r="I236" s="332" t="s">
        <v>14</v>
      </c>
      <c r="J236" s="332" t="s">
        <v>14</v>
      </c>
    </row>
    <row r="237" spans="2:10">
      <c r="C237" s="2" t="s">
        <v>481</v>
      </c>
      <c r="D237" s="2"/>
      <c r="E237" s="2"/>
      <c r="F237" s="312"/>
      <c r="G237" s="312"/>
      <c r="H237" s="312"/>
      <c r="I237" s="364" t="s">
        <v>14</v>
      </c>
      <c r="J237" s="364" t="s">
        <v>14</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14</v>
      </c>
      <c r="J253" s="332" t="s">
        <v>14</v>
      </c>
    </row>
    <row r="254" spans="2:10">
      <c r="C254" s="308" t="s">
        <v>539</v>
      </c>
      <c r="D254" s="2"/>
      <c r="E254" s="2"/>
      <c r="F254" s="312"/>
      <c r="G254" s="312"/>
      <c r="H254" s="312"/>
      <c r="I254" s="364" t="s">
        <v>14</v>
      </c>
      <c r="J254" s="364" t="s">
        <v>14</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14</v>
      </c>
      <c r="J267" s="332" t="s">
        <v>14</v>
      </c>
    </row>
    <row r="268" spans="2:10">
      <c r="C268" s="312" t="s">
        <v>495</v>
      </c>
      <c r="D268" s="312"/>
      <c r="E268" s="312"/>
      <c r="F268" s="312"/>
      <c r="G268" s="312"/>
      <c r="H268" s="312"/>
      <c r="I268" s="332" t="s">
        <v>14</v>
      </c>
      <c r="J268" s="332" t="s">
        <v>14</v>
      </c>
    </row>
    <row r="269" spans="2:10">
      <c r="C269" s="312" t="s">
        <v>496</v>
      </c>
      <c r="D269" s="312"/>
      <c r="E269" s="312"/>
      <c r="F269" s="312"/>
      <c r="G269" s="312"/>
      <c r="H269" s="312"/>
      <c r="I269" s="332" t="s">
        <v>14</v>
      </c>
      <c r="J269" s="332" t="s">
        <v>14</v>
      </c>
    </row>
    <row r="270" spans="2:10">
      <c r="C270" s="312" t="s">
        <v>497</v>
      </c>
      <c r="D270" s="312"/>
      <c r="E270" s="312"/>
      <c r="F270" s="312"/>
      <c r="G270" s="312"/>
      <c r="H270" s="312"/>
      <c r="I270" s="332" t="s">
        <v>14</v>
      </c>
      <c r="J270" s="332" t="s">
        <v>14</v>
      </c>
    </row>
    <row r="271" spans="2:10">
      <c r="C271" s="312" t="s">
        <v>498</v>
      </c>
      <c r="D271" s="312"/>
      <c r="E271" s="312"/>
      <c r="F271" s="312"/>
      <c r="G271" s="312"/>
      <c r="H271" s="312"/>
      <c r="I271" s="332" t="s">
        <v>14</v>
      </c>
      <c r="J271" s="332" t="s">
        <v>14</v>
      </c>
    </row>
    <row r="272" spans="2:10">
      <c r="C272" s="312" t="s">
        <v>499</v>
      </c>
      <c r="D272" s="312"/>
      <c r="E272" s="312"/>
      <c r="F272" s="312"/>
      <c r="G272" s="312"/>
      <c r="H272" s="312"/>
      <c r="I272" s="332" t="s">
        <v>14</v>
      </c>
      <c r="J272" s="332" t="s">
        <v>14</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I291" s="2"/>
      <c r="J291" s="7"/>
      <c r="K291" s="2"/>
      <c r="L291" s="2"/>
      <c r="M291" s="301"/>
      <c r="N291" s="2"/>
      <c r="O291" s="301"/>
    </row>
  </sheetData>
  <sheetProtection selectLockedCells="1"/>
  <mergeCells count="109">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39:D39"/>
    <mergeCell ref="H39:M39"/>
    <mergeCell ref="C40:D40"/>
    <mergeCell ref="H40:M40"/>
    <mergeCell ref="C41:D41"/>
    <mergeCell ref="H41:M41"/>
    <mergeCell ref="C24:D24"/>
    <mergeCell ref="F24:G24"/>
    <mergeCell ref="K24:M24"/>
    <mergeCell ref="C27:M34"/>
    <mergeCell ref="H37:M37"/>
    <mergeCell ref="C38:D38"/>
    <mergeCell ref="H38:M38"/>
    <mergeCell ref="C45:D45"/>
    <mergeCell ref="H45:M45"/>
    <mergeCell ref="C46:D46"/>
    <mergeCell ref="H46:M46"/>
    <mergeCell ref="C47:D47"/>
    <mergeCell ref="H47:M47"/>
    <mergeCell ref="C42:D42"/>
    <mergeCell ref="H42:M42"/>
    <mergeCell ref="C43:D43"/>
    <mergeCell ref="H43:M43"/>
    <mergeCell ref="C44:D44"/>
    <mergeCell ref="H44:M44"/>
    <mergeCell ref="C51:D51"/>
    <mergeCell ref="H51:M51"/>
    <mergeCell ref="C52:D52"/>
    <mergeCell ref="H52:M52"/>
    <mergeCell ref="C53:D53"/>
    <mergeCell ref="H53:M53"/>
    <mergeCell ref="C48:D48"/>
    <mergeCell ref="H48:M48"/>
    <mergeCell ref="C49:D49"/>
    <mergeCell ref="H49:M49"/>
    <mergeCell ref="C50:D50"/>
    <mergeCell ref="H50:M50"/>
    <mergeCell ref="I65:J65"/>
    <mergeCell ref="C57:D57"/>
    <mergeCell ref="H57:M57"/>
    <mergeCell ref="C58:D58"/>
    <mergeCell ref="H58:M58"/>
    <mergeCell ref="I63:J63"/>
    <mergeCell ref="I64:J64"/>
    <mergeCell ref="C54:D54"/>
    <mergeCell ref="H54:M54"/>
    <mergeCell ref="C55:D55"/>
    <mergeCell ref="H55:M55"/>
    <mergeCell ref="C56:D56"/>
    <mergeCell ref="H56:M56"/>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4">
    <tabColor rgb="FF00B0F0"/>
  </sheetPr>
  <dimension ref="B1:U291"/>
  <sheetViews>
    <sheetView workbookViewId="0">
      <selection activeCell="Z28" sqref="Z28"/>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Detail!A27</f>
        <v>Countryside Senior Apts</v>
      </c>
      <c r="D2" s="341"/>
      <c r="E2" s="341"/>
      <c r="F2" s="120"/>
      <c r="G2" s="120"/>
      <c r="H2" s="120"/>
      <c r="I2" s="120"/>
      <c r="J2" s="120"/>
      <c r="K2" s="120"/>
      <c r="L2" s="120"/>
      <c r="M2" s="121"/>
      <c r="N2" s="319"/>
    </row>
    <row r="3" spans="2:21" s="122" customFormat="1" ht="20.25" customHeight="1" thickBot="1">
      <c r="B3" s="319"/>
      <c r="C3" s="136" t="str">
        <f>Detail!B27</f>
        <v>L Reyes</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Detail!V27</f>
        <v>Senior</v>
      </c>
      <c r="G6" s="836"/>
      <c r="H6" s="357"/>
      <c r="I6" s="833" t="s">
        <v>219</v>
      </c>
      <c r="J6" s="834"/>
      <c r="K6" s="834"/>
      <c r="L6" s="837" t="str">
        <f>Detail!I27</f>
        <v>LIHTC - 9%</v>
      </c>
      <c r="M6" s="838"/>
      <c r="N6" s="318"/>
    </row>
    <row r="7" spans="2:21" ht="17.25" customHeight="1">
      <c r="B7" s="318"/>
      <c r="C7" s="796" t="s">
        <v>214</v>
      </c>
      <c r="D7" s="797"/>
      <c r="E7" s="352"/>
      <c r="F7" s="819" t="str">
        <f>Detail!C27</f>
        <v>Countryside</v>
      </c>
      <c r="G7" s="820"/>
      <c r="H7" s="357"/>
      <c r="I7" s="796" t="s">
        <v>183</v>
      </c>
      <c r="J7" s="797"/>
      <c r="K7" s="797"/>
      <c r="L7" s="830" t="str">
        <f>Detail!J27</f>
        <v>Local: City/County Funding</v>
      </c>
      <c r="M7" s="831"/>
      <c r="N7" s="318"/>
    </row>
    <row r="8" spans="2:21" ht="17.25" customHeight="1">
      <c r="B8" s="318"/>
      <c r="C8" s="796" t="s">
        <v>9</v>
      </c>
      <c r="D8" s="797"/>
      <c r="E8" s="352"/>
      <c r="F8" s="819" t="str">
        <f>Detail!D27</f>
        <v>New Construction</v>
      </c>
      <c r="G8" s="820"/>
      <c r="H8" s="357"/>
      <c r="I8" s="796" t="s">
        <v>184</v>
      </c>
      <c r="J8" s="797"/>
      <c r="K8" s="797"/>
      <c r="L8" s="830" t="str">
        <f>Detail!K27</f>
        <v>Grant Funding - Public or Private</v>
      </c>
      <c r="M8" s="831"/>
      <c r="N8" s="318"/>
    </row>
    <row r="9" spans="2:21" ht="17.25" customHeight="1">
      <c r="B9" s="318"/>
      <c r="C9" s="796" t="s">
        <v>215</v>
      </c>
      <c r="D9" s="797"/>
      <c r="E9" s="353"/>
      <c r="F9" s="832">
        <f>Detail!T27</f>
        <v>70</v>
      </c>
      <c r="G9" s="820"/>
      <c r="H9" s="357"/>
      <c r="I9" s="796" t="s">
        <v>185</v>
      </c>
      <c r="J9" s="797"/>
      <c r="K9" s="797"/>
      <c r="L9" s="830" t="str">
        <f>Detail!L27</f>
        <v>N/A</v>
      </c>
      <c r="M9" s="831"/>
      <c r="N9" s="318"/>
    </row>
    <row r="10" spans="2:21" ht="17.25" customHeight="1">
      <c r="B10" s="318"/>
      <c r="C10" s="796" t="s">
        <v>216</v>
      </c>
      <c r="D10" s="797"/>
      <c r="E10" s="352"/>
      <c r="F10" s="819" t="str">
        <f>Detail!V27</f>
        <v>Senior</v>
      </c>
      <c r="G10" s="820"/>
      <c r="H10" s="357"/>
      <c r="I10" s="796" t="s">
        <v>44</v>
      </c>
      <c r="J10" s="797"/>
      <c r="K10" s="797"/>
      <c r="L10" s="800">
        <f>Detail!AB27</f>
        <v>16101522</v>
      </c>
      <c r="M10" s="801"/>
      <c r="N10" s="318"/>
    </row>
    <row r="11" spans="2:21" ht="17.25" customHeight="1">
      <c r="B11" s="318"/>
      <c r="C11" s="361"/>
      <c r="D11" s="362"/>
      <c r="E11" s="352"/>
      <c r="F11" s="819" t="str">
        <f>Detail!W27</f>
        <v>Senior - Independent</v>
      </c>
      <c r="G11" s="820"/>
      <c r="H11" s="357"/>
      <c r="I11" s="796" t="s">
        <v>602</v>
      </c>
      <c r="J11" s="797"/>
      <c r="K11" s="510"/>
      <c r="L11" s="828" t="str">
        <f>Detail!AG27</f>
        <v xml:space="preserve">B of A </v>
      </c>
      <c r="M11" s="829"/>
      <c r="N11" s="318"/>
    </row>
    <row r="12" spans="2:21" ht="17.25" customHeight="1">
      <c r="B12" s="318"/>
      <c r="C12" s="361"/>
      <c r="D12" s="362"/>
      <c r="E12" s="352"/>
      <c r="F12" s="819" t="str">
        <f>Detail!X27</f>
        <v>N/A</v>
      </c>
      <c r="G12" s="820"/>
      <c r="H12" s="357"/>
      <c r="I12" s="796" t="s">
        <v>603</v>
      </c>
      <c r="J12" s="797"/>
      <c r="K12" s="797"/>
      <c r="L12" s="828">
        <f>Detail!N27</f>
        <v>2009</v>
      </c>
      <c r="M12" s="829"/>
      <c r="N12" s="318"/>
    </row>
    <row r="13" spans="2:21" ht="17.25" customHeight="1">
      <c r="B13" s="318"/>
      <c r="C13" s="796" t="s">
        <v>525</v>
      </c>
      <c r="D13" s="797"/>
      <c r="E13" s="354"/>
      <c r="F13" s="827" t="str">
        <f>Detail!AM27</f>
        <v>MHMG</v>
      </c>
      <c r="G13" s="820"/>
      <c r="H13" s="357"/>
      <c r="I13" s="796" t="s">
        <v>256</v>
      </c>
      <c r="J13" s="797"/>
      <c r="K13" s="797"/>
      <c r="L13" s="800">
        <f>Detail!AC27</f>
        <v>10908330</v>
      </c>
      <c r="M13" s="801"/>
      <c r="N13" s="318"/>
    </row>
    <row r="14" spans="2:21" ht="17.25" customHeight="1">
      <c r="B14" s="318"/>
      <c r="C14" s="796" t="s">
        <v>172</v>
      </c>
      <c r="D14" s="797"/>
      <c r="E14" s="352"/>
      <c r="F14" s="819" t="str">
        <f>Detail!Z27</f>
        <v>Service Coordination</v>
      </c>
      <c r="G14" s="820"/>
      <c r="H14" s="357"/>
      <c r="I14" s="796" t="s">
        <v>257</v>
      </c>
      <c r="J14" s="797"/>
      <c r="K14" s="797"/>
      <c r="L14" s="800">
        <f>Detail!AF27</f>
        <v>8104760</v>
      </c>
      <c r="M14" s="801"/>
      <c r="N14" s="318"/>
    </row>
    <row r="15" spans="2:21" ht="17.25" customHeight="1" thickBot="1">
      <c r="B15" s="318"/>
      <c r="C15" s="796" t="s">
        <v>217</v>
      </c>
      <c r="D15" s="797"/>
      <c r="E15" s="355"/>
      <c r="F15" s="819" t="str">
        <f>Detail!AA27</f>
        <v>Property Operations</v>
      </c>
      <c r="G15" s="820"/>
      <c r="H15" s="357"/>
      <c r="I15" s="821" t="s">
        <v>255</v>
      </c>
      <c r="J15" s="822"/>
      <c r="K15" s="822"/>
      <c r="L15" s="823">
        <f>Detail!AD27</f>
        <v>1090833</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Detail!AH27</f>
        <v>1129550</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Detail!AJ27</f>
        <v>1129550</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Detail!AI27</f>
        <v>0</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35.25" customHeight="1" thickTop="1">
      <c r="B21" s="320"/>
      <c r="C21" s="804" t="s">
        <v>46</v>
      </c>
      <c r="D21" s="805"/>
      <c r="E21" s="349"/>
      <c r="F21" s="806" t="str">
        <f>Detail!F27</f>
        <v>Operations - Sub Phase Close Out</v>
      </c>
      <c r="G21" s="807"/>
      <c r="H21" s="359"/>
      <c r="I21" s="804" t="s">
        <v>226</v>
      </c>
      <c r="J21" s="805"/>
      <c r="K21" s="805"/>
      <c r="L21" s="808">
        <f>Detail!Q27</f>
        <v>1</v>
      </c>
      <c r="M21" s="809"/>
      <c r="N21" s="320"/>
    </row>
    <row r="22" spans="2:21" s="88" customFormat="1" ht="17.25" customHeight="1">
      <c r="B22" s="320"/>
      <c r="C22" s="796" t="s">
        <v>223</v>
      </c>
      <c r="D22" s="797"/>
      <c r="E22" s="348"/>
      <c r="F22" s="798">
        <f>Detail!P27</f>
        <v>40057</v>
      </c>
      <c r="G22" s="799"/>
      <c r="H22" s="359"/>
      <c r="I22" s="796" t="s">
        <v>227</v>
      </c>
      <c r="J22" s="797"/>
      <c r="K22" s="797"/>
      <c r="L22" s="800">
        <f>Detail!AO27+Detail!AP27+Detail!AQ27+Detail!AR27</f>
        <v>587549.5</v>
      </c>
      <c r="M22" s="801"/>
      <c r="N22" s="320"/>
    </row>
    <row r="23" spans="2:21" s="88" customFormat="1" ht="17.25" customHeight="1">
      <c r="B23" s="320"/>
      <c r="C23" s="796" t="s">
        <v>224</v>
      </c>
      <c r="D23" s="797"/>
      <c r="E23" s="348"/>
      <c r="F23" s="798">
        <f>Detail!R27</f>
        <v>40057</v>
      </c>
      <c r="G23" s="799"/>
      <c r="H23" s="359"/>
      <c r="I23" s="796" t="s">
        <v>228</v>
      </c>
      <c r="J23" s="797"/>
      <c r="K23" s="797"/>
      <c r="L23" s="800">
        <f>Detail!BG27</f>
        <v>405000</v>
      </c>
      <c r="M23" s="801"/>
      <c r="N23" s="320"/>
    </row>
    <row r="24" spans="2:21" s="88" customFormat="1" ht="17.25" customHeight="1" thickBot="1">
      <c r="B24" s="320"/>
      <c r="C24" s="778" t="s">
        <v>225</v>
      </c>
      <c r="D24" s="779"/>
      <c r="E24" s="511"/>
      <c r="F24" s="780">
        <f>Detail!S27</f>
        <v>40422</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t="s">
        <v>752</v>
      </c>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Countryside Senior Apts</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c r="B38" s="322"/>
      <c r="C38" s="792" t="s">
        <v>514</v>
      </c>
      <c r="D38" s="793"/>
      <c r="E38" s="344"/>
      <c r="F38" s="368" t="str">
        <f>I92</f>
        <v>TBD</v>
      </c>
      <c r="G38" s="368" t="str">
        <f>J92</f>
        <v>TBD</v>
      </c>
      <c r="H38" s="794"/>
      <c r="I38" s="794"/>
      <c r="J38" s="794"/>
      <c r="K38" s="794"/>
      <c r="L38" s="794"/>
      <c r="M38" s="795"/>
      <c r="N38" s="322"/>
    </row>
    <row r="39" spans="2:19" s="300" customFormat="1" ht="12.75" customHeight="1">
      <c r="B39" s="322"/>
      <c r="C39" s="774" t="s">
        <v>516</v>
      </c>
      <c r="D39" s="775"/>
      <c r="E39" s="506"/>
      <c r="F39" s="368" t="str">
        <f>I94</f>
        <v>TBD</v>
      </c>
      <c r="G39" s="369" t="str">
        <f>J94</f>
        <v>TBD</v>
      </c>
      <c r="H39" s="772"/>
      <c r="I39" s="772"/>
      <c r="J39" s="772"/>
      <c r="K39" s="772"/>
      <c r="L39" s="772"/>
      <c r="M39" s="773"/>
      <c r="N39" s="322"/>
    </row>
    <row r="40" spans="2:19" s="300" customFormat="1">
      <c r="B40" s="322"/>
      <c r="C40" s="774" t="s">
        <v>344</v>
      </c>
      <c r="D40" s="775"/>
      <c r="E40" s="506"/>
      <c r="F40" s="368" t="str">
        <f>I96</f>
        <v>TBD</v>
      </c>
      <c r="G40" s="368" t="str">
        <f>J96</f>
        <v>TBD</v>
      </c>
      <c r="H40" s="772"/>
      <c r="I40" s="772"/>
      <c r="J40" s="772"/>
      <c r="K40" s="772"/>
      <c r="L40" s="772"/>
      <c r="M40" s="773"/>
      <c r="N40" s="322"/>
    </row>
    <row r="41" spans="2:19" s="300" customFormat="1" ht="12.75" customHeight="1">
      <c r="B41" s="322"/>
      <c r="C41" s="774" t="s">
        <v>535</v>
      </c>
      <c r="D41" s="775"/>
      <c r="E41" s="506"/>
      <c r="F41" s="368" t="str">
        <f>Countryside!I102</f>
        <v>TBD</v>
      </c>
      <c r="G41" s="368" t="str">
        <f>J102</f>
        <v>TBD</v>
      </c>
      <c r="H41" s="772"/>
      <c r="I41" s="772"/>
      <c r="J41" s="772"/>
      <c r="K41" s="772"/>
      <c r="L41" s="772"/>
      <c r="M41" s="773"/>
      <c r="N41" s="322"/>
      <c r="P41" s="358"/>
      <c r="Q41" s="358"/>
      <c r="R41" s="358"/>
      <c r="S41" s="358"/>
    </row>
    <row r="42" spans="2:19" s="300" customFormat="1">
      <c r="B42" s="322"/>
      <c r="C42" s="774" t="s">
        <v>536</v>
      </c>
      <c r="D42" s="775"/>
      <c r="E42" s="506"/>
      <c r="F42" s="368" t="str">
        <f>I110</f>
        <v>TBD</v>
      </c>
      <c r="G42" s="368" t="str">
        <f>J110</f>
        <v>TBD</v>
      </c>
      <c r="H42" s="772"/>
      <c r="I42" s="772"/>
      <c r="J42" s="772"/>
      <c r="K42" s="772"/>
      <c r="L42" s="772"/>
      <c r="M42" s="773"/>
      <c r="N42" s="322"/>
      <c r="P42" s="358"/>
      <c r="Q42" s="358"/>
      <c r="R42" s="358"/>
      <c r="S42" s="358"/>
    </row>
    <row r="43" spans="2:19" s="300" customFormat="1">
      <c r="B43" s="322"/>
      <c r="C43" s="774" t="s">
        <v>517</v>
      </c>
      <c r="D43" s="775"/>
      <c r="E43" s="506"/>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06"/>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06"/>
      <c r="F45" s="368" t="str">
        <f>I200</f>
        <v>TBD</v>
      </c>
      <c r="G45" s="368" t="str">
        <f>J200</f>
        <v>TBD</v>
      </c>
      <c r="H45" s="772"/>
      <c r="I45" s="772"/>
      <c r="J45" s="772"/>
      <c r="K45" s="772"/>
      <c r="L45" s="772"/>
      <c r="M45" s="773"/>
      <c r="N45" s="322"/>
    </row>
    <row r="46" spans="2:19" s="300" customFormat="1">
      <c r="B46" s="322"/>
      <c r="C46" s="774" t="s">
        <v>538</v>
      </c>
      <c r="D46" s="775"/>
      <c r="E46" s="506"/>
      <c r="F46" s="368" t="str">
        <f>I232</f>
        <v>TBD</v>
      </c>
      <c r="G46" s="368" t="str">
        <f>J232</f>
        <v>TBD</v>
      </c>
      <c r="H46" s="772"/>
      <c r="I46" s="772"/>
      <c r="J46" s="772"/>
      <c r="K46" s="772"/>
      <c r="L46" s="772"/>
      <c r="M46" s="773"/>
      <c r="N46" s="322"/>
    </row>
    <row r="47" spans="2:19" s="300" customFormat="1" ht="14">
      <c r="B47" s="322"/>
      <c r="C47" s="774" t="s">
        <v>55</v>
      </c>
      <c r="D47" s="775"/>
      <c r="E47" s="506"/>
      <c r="F47" s="368">
        <f>I225</f>
        <v>40057</v>
      </c>
      <c r="G47" s="368">
        <f>J225</f>
        <v>40057</v>
      </c>
      <c r="H47" s="772"/>
      <c r="I47" s="772"/>
      <c r="J47" s="772"/>
      <c r="K47" s="772"/>
      <c r="L47" s="772"/>
      <c r="M47" s="773"/>
      <c r="N47" s="322"/>
    </row>
    <row r="48" spans="2:19" s="300" customFormat="1" ht="14">
      <c r="B48" s="322"/>
      <c r="C48" s="774" t="s">
        <v>346</v>
      </c>
      <c r="D48" s="775"/>
      <c r="E48" s="506"/>
      <c r="F48" s="368">
        <f>I235</f>
        <v>40057</v>
      </c>
      <c r="G48" s="368">
        <f>J235</f>
        <v>40057</v>
      </c>
      <c r="H48" s="772"/>
      <c r="I48" s="772"/>
      <c r="J48" s="772"/>
      <c r="K48" s="772"/>
      <c r="L48" s="772"/>
      <c r="M48" s="773"/>
      <c r="N48" s="322"/>
    </row>
    <row r="49" spans="2:14" s="300" customFormat="1">
      <c r="B49" s="322"/>
      <c r="C49" s="774" t="s">
        <v>347</v>
      </c>
      <c r="D49" s="775"/>
      <c r="E49" s="506"/>
      <c r="F49" s="368" t="str">
        <f>I237</f>
        <v>TBD</v>
      </c>
      <c r="G49" s="368" t="str">
        <f>J237</f>
        <v>TBD</v>
      </c>
      <c r="H49" s="772"/>
      <c r="I49" s="772"/>
      <c r="J49" s="772"/>
      <c r="K49" s="772"/>
      <c r="L49" s="772"/>
      <c r="M49" s="773"/>
      <c r="N49" s="322"/>
    </row>
    <row r="50" spans="2:14" s="300" customFormat="1">
      <c r="B50" s="322"/>
      <c r="C50" s="774" t="s">
        <v>348</v>
      </c>
      <c r="D50" s="775"/>
      <c r="E50" s="506"/>
      <c r="F50" s="368" t="str">
        <f>I254</f>
        <v>TBD</v>
      </c>
      <c r="G50" s="368" t="str">
        <f>J254</f>
        <v>TBD</v>
      </c>
      <c r="H50" s="772"/>
      <c r="I50" s="772"/>
      <c r="J50" s="772"/>
      <c r="K50" s="772"/>
      <c r="L50" s="772"/>
      <c r="M50" s="773"/>
      <c r="N50" s="322"/>
    </row>
    <row r="51" spans="2:14" s="300" customFormat="1">
      <c r="B51" s="322"/>
      <c r="C51" s="774" t="s">
        <v>65</v>
      </c>
      <c r="D51" s="775"/>
      <c r="E51" s="506"/>
      <c r="F51" s="368" t="str">
        <f>I255</f>
        <v>TBD</v>
      </c>
      <c r="G51" s="368" t="str">
        <f>J255</f>
        <v>TBD</v>
      </c>
      <c r="H51" s="772"/>
      <c r="I51" s="772"/>
      <c r="J51" s="772"/>
      <c r="K51" s="772"/>
      <c r="L51" s="772"/>
      <c r="M51" s="773"/>
      <c r="N51" s="322"/>
    </row>
    <row r="52" spans="2:14" s="300" customFormat="1">
      <c r="B52" s="322"/>
      <c r="C52" s="774" t="s">
        <v>540</v>
      </c>
      <c r="D52" s="775"/>
      <c r="E52" s="506"/>
      <c r="F52" s="368" t="str">
        <f>I273</f>
        <v>TBD</v>
      </c>
      <c r="G52" s="368" t="str">
        <f>J273</f>
        <v>TBD</v>
      </c>
      <c r="H52" s="772"/>
      <c r="I52" s="772"/>
      <c r="J52" s="772"/>
      <c r="K52" s="772"/>
      <c r="L52" s="772"/>
      <c r="M52" s="773"/>
      <c r="N52" s="322"/>
    </row>
    <row r="53" spans="2:14" s="300" customFormat="1">
      <c r="B53" s="322"/>
      <c r="C53" s="774" t="s">
        <v>542</v>
      </c>
      <c r="D53" s="775"/>
      <c r="E53" s="506"/>
      <c r="F53" s="368" t="str">
        <f>I276</f>
        <v>TBD</v>
      </c>
      <c r="G53" s="368" t="str">
        <f>J276</f>
        <v>TBD</v>
      </c>
      <c r="H53" s="772"/>
      <c r="I53" s="772"/>
      <c r="J53" s="772"/>
      <c r="K53" s="772"/>
      <c r="L53" s="772"/>
      <c r="M53" s="773"/>
      <c r="N53" s="322"/>
    </row>
    <row r="54" spans="2:14" s="300" customFormat="1">
      <c r="B54" s="322"/>
      <c r="C54" s="774">
        <v>8609</v>
      </c>
      <c r="D54" s="775"/>
      <c r="E54" s="506"/>
      <c r="F54" s="368" t="str">
        <f>I289</f>
        <v>TBD</v>
      </c>
      <c r="G54" s="368" t="str">
        <f>J289</f>
        <v>TBD</v>
      </c>
      <c r="H54" s="772"/>
      <c r="I54" s="772"/>
      <c r="J54" s="772"/>
      <c r="K54" s="772"/>
      <c r="L54" s="772"/>
      <c r="M54" s="773"/>
      <c r="N54" s="322"/>
    </row>
    <row r="55" spans="2:14" s="300" customFormat="1" ht="15" customHeigh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507"/>
      <c r="F56" s="338"/>
      <c r="G56" s="338"/>
      <c r="H56" s="772"/>
      <c r="I56" s="772"/>
      <c r="J56" s="772"/>
      <c r="K56" s="772"/>
      <c r="L56" s="772"/>
      <c r="M56" s="773"/>
      <c r="N56" s="322"/>
    </row>
    <row r="57" spans="2:14" s="300" customFormat="1" ht="14">
      <c r="B57" s="322"/>
      <c r="C57" s="770" t="s">
        <v>522</v>
      </c>
      <c r="D57" s="771"/>
      <c r="E57" s="507"/>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Countryside Senior Apts</v>
      </c>
      <c r="J63" s="769"/>
      <c r="K63" s="17"/>
      <c r="L63" s="17"/>
      <c r="M63" s="8"/>
      <c r="N63" s="17"/>
    </row>
    <row r="64" spans="2:14" ht="16" thickBot="1">
      <c r="C64" s="308" t="s">
        <v>351</v>
      </c>
      <c r="D64" s="308"/>
      <c r="E64" s="308"/>
      <c r="F64" s="308"/>
      <c r="H64" s="363"/>
      <c r="I64" s="768" t="str">
        <f>F7</f>
        <v>Countryside</v>
      </c>
      <c r="J64" s="769"/>
      <c r="K64" s="17"/>
      <c r="L64" s="17"/>
      <c r="M64" s="8"/>
      <c r="N64" s="17"/>
    </row>
    <row r="65" spans="2:15" ht="16" thickBot="1">
      <c r="C65" s="308" t="s">
        <v>352</v>
      </c>
      <c r="D65" s="308"/>
      <c r="E65" s="308"/>
      <c r="F65" s="308"/>
      <c r="H65" s="363"/>
      <c r="I65" s="768" t="str">
        <f>C3</f>
        <v>L Reyes</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t="s">
        <v>14</v>
      </c>
      <c r="J70" s="332" t="s">
        <v>14</v>
      </c>
    </row>
    <row r="71" spans="2:15">
      <c r="C71" s="2" t="s">
        <v>356</v>
      </c>
      <c r="D71" s="2"/>
      <c r="E71" s="2"/>
      <c r="F71" s="2"/>
      <c r="G71" s="2"/>
      <c r="H71" s="2"/>
      <c r="I71" s="332" t="s">
        <v>14</v>
      </c>
      <c r="J71" s="332" t="s">
        <v>14</v>
      </c>
    </row>
    <row r="72" spans="2:15">
      <c r="C72" s="2" t="s">
        <v>357</v>
      </c>
      <c r="D72" s="2"/>
      <c r="E72" s="2"/>
      <c r="F72" s="2"/>
      <c r="G72" s="2"/>
      <c r="H72" s="2"/>
      <c r="I72" s="332" t="s">
        <v>14</v>
      </c>
      <c r="J72" s="332" t="s">
        <v>14</v>
      </c>
    </row>
    <row r="73" spans="2:15">
      <c r="C73" s="2" t="s">
        <v>358</v>
      </c>
      <c r="D73" s="2"/>
      <c r="E73" s="2"/>
      <c r="F73" s="2"/>
      <c r="G73" s="2"/>
      <c r="H73" s="2"/>
      <c r="I73" s="332" t="s">
        <v>14</v>
      </c>
      <c r="J73" s="332" t="s">
        <v>14</v>
      </c>
    </row>
    <row r="74" spans="2:15">
      <c r="C74" s="312" t="s">
        <v>359</v>
      </c>
      <c r="D74" s="312"/>
      <c r="E74" s="312"/>
      <c r="F74" s="312"/>
      <c r="G74" s="312"/>
      <c r="H74" s="312"/>
      <c r="I74" s="332" t="s">
        <v>14</v>
      </c>
      <c r="J74" s="332" t="s">
        <v>14</v>
      </c>
    </row>
    <row r="75" spans="2:15">
      <c r="C75" s="2" t="s">
        <v>360</v>
      </c>
      <c r="D75" s="2"/>
      <c r="E75" s="2"/>
      <c r="F75" s="312"/>
      <c r="G75" s="312"/>
      <c r="H75" s="312"/>
      <c r="I75" s="332" t="s">
        <v>14</v>
      </c>
      <c r="J75" s="332" t="s">
        <v>14</v>
      </c>
    </row>
    <row r="76" spans="2:15">
      <c r="C76" s="2" t="s">
        <v>361</v>
      </c>
      <c r="D76" s="2"/>
      <c r="E76" s="2"/>
      <c r="F76" s="312"/>
      <c r="G76" s="312"/>
      <c r="H76" s="312"/>
      <c r="I76" s="332" t="s">
        <v>14</v>
      </c>
      <c r="J76" s="332" t="s">
        <v>14</v>
      </c>
    </row>
    <row r="77" spans="2:15">
      <c r="C77" s="2" t="s">
        <v>362</v>
      </c>
      <c r="D77" s="2"/>
      <c r="E77" s="2"/>
      <c r="F77" s="312"/>
      <c r="G77" s="312"/>
      <c r="H77" s="312"/>
      <c r="I77" s="330"/>
      <c r="J77" s="330"/>
    </row>
    <row r="78" spans="2:15">
      <c r="C78" s="312" t="s">
        <v>363</v>
      </c>
      <c r="D78" s="312"/>
      <c r="E78" s="312"/>
      <c r="F78" s="312"/>
      <c r="G78" s="312"/>
      <c r="H78" s="312"/>
      <c r="I78" s="332" t="s">
        <v>14</v>
      </c>
      <c r="J78" s="332" t="s">
        <v>14</v>
      </c>
    </row>
    <row r="79" spans="2:15">
      <c r="C79" s="312" t="s">
        <v>364</v>
      </c>
      <c r="D79" s="312"/>
      <c r="E79" s="312"/>
      <c r="F79" s="312"/>
      <c r="G79" s="312"/>
      <c r="H79" s="312"/>
      <c r="I79" s="332" t="s">
        <v>14</v>
      </c>
      <c r="J79" s="332" t="s">
        <v>14</v>
      </c>
    </row>
    <row r="80" spans="2:15">
      <c r="C80" s="312" t="s">
        <v>365</v>
      </c>
      <c r="D80" s="312"/>
      <c r="E80" s="312"/>
      <c r="F80" s="312"/>
      <c r="G80" s="312"/>
      <c r="H80" s="312"/>
      <c r="I80" s="332" t="s">
        <v>14</v>
      </c>
      <c r="J80" s="332" t="s">
        <v>14</v>
      </c>
    </row>
    <row r="81" spans="2:10">
      <c r="C81" s="315" t="s">
        <v>366</v>
      </c>
      <c r="D81" s="315"/>
      <c r="E81" s="315"/>
      <c r="F81" s="314"/>
      <c r="G81" s="314"/>
      <c r="H81" s="314"/>
      <c r="I81" s="332" t="s">
        <v>14</v>
      </c>
      <c r="J81" s="332" t="s">
        <v>14</v>
      </c>
    </row>
    <row r="82" spans="2:10">
      <c r="C82" s="2" t="s">
        <v>367</v>
      </c>
      <c r="D82" s="2"/>
      <c r="E82" s="2"/>
      <c r="F82" s="312"/>
      <c r="G82" s="312"/>
      <c r="H82" s="312"/>
      <c r="I82" s="330"/>
      <c r="J82" s="330"/>
    </row>
    <row r="83" spans="2:10">
      <c r="C83" s="312" t="s">
        <v>368</v>
      </c>
      <c r="D83" s="312"/>
      <c r="E83" s="312"/>
      <c r="F83" s="312"/>
      <c r="G83" s="312"/>
      <c r="H83" s="312"/>
      <c r="I83" s="332" t="s">
        <v>14</v>
      </c>
      <c r="J83" s="332" t="s">
        <v>14</v>
      </c>
    </row>
    <row r="84" spans="2:10">
      <c r="C84" s="312" t="s">
        <v>369</v>
      </c>
      <c r="D84" s="312"/>
      <c r="E84" s="312"/>
      <c r="F84" s="312"/>
      <c r="G84" s="312"/>
      <c r="H84" s="312"/>
      <c r="I84" s="332" t="s">
        <v>14</v>
      </c>
      <c r="J84" s="332" t="s">
        <v>14</v>
      </c>
    </row>
    <row r="85" spans="2:10">
      <c r="C85" s="312" t="s">
        <v>370</v>
      </c>
      <c r="D85" s="312"/>
      <c r="E85" s="312"/>
      <c r="F85" s="312"/>
      <c r="G85" s="312"/>
      <c r="H85" s="312"/>
      <c r="I85" s="332" t="s">
        <v>14</v>
      </c>
      <c r="J85" s="332" t="s">
        <v>14</v>
      </c>
    </row>
    <row r="86" spans="2:10">
      <c r="C86" s="2" t="s">
        <v>371</v>
      </c>
      <c r="D86" s="2"/>
      <c r="E86" s="2"/>
      <c r="F86" s="312"/>
      <c r="G86" s="312"/>
      <c r="H86" s="312"/>
      <c r="I86" s="332" t="s">
        <v>14</v>
      </c>
      <c r="J86" s="332" t="s">
        <v>14</v>
      </c>
    </row>
    <row r="87" spans="2:10">
      <c r="C87" s="2" t="s">
        <v>372</v>
      </c>
      <c r="D87" s="2"/>
      <c r="E87" s="2"/>
      <c r="F87" s="312"/>
      <c r="G87" s="312"/>
      <c r="H87" s="312"/>
      <c r="I87" s="332" t="s">
        <v>14</v>
      </c>
      <c r="J87" s="332" t="s">
        <v>14</v>
      </c>
    </row>
    <row r="88" spans="2:10">
      <c r="C88" s="2" t="s">
        <v>373</v>
      </c>
      <c r="D88" s="2"/>
      <c r="E88" s="2"/>
      <c r="F88" s="312"/>
      <c r="G88" s="312"/>
      <c r="H88" s="312"/>
      <c r="I88" s="332" t="s">
        <v>14</v>
      </c>
      <c r="J88" s="332" t="s">
        <v>14</v>
      </c>
    </row>
    <row r="89" spans="2:10">
      <c r="C89" s="2" t="s">
        <v>374</v>
      </c>
      <c r="D89" s="2"/>
      <c r="E89" s="2"/>
      <c r="F89" s="312"/>
      <c r="G89" s="312"/>
      <c r="H89" s="312"/>
      <c r="I89" s="332" t="s">
        <v>14</v>
      </c>
      <c r="J89" s="332" t="s">
        <v>14</v>
      </c>
    </row>
    <row r="90" spans="2:10">
      <c r="C90" s="2" t="s">
        <v>375</v>
      </c>
      <c r="D90" s="2"/>
      <c r="E90" s="2"/>
      <c r="F90" s="312"/>
      <c r="G90" s="312"/>
      <c r="H90" s="312"/>
      <c r="I90" s="332" t="s">
        <v>14</v>
      </c>
      <c r="J90" s="332" t="s">
        <v>14</v>
      </c>
    </row>
    <row r="91" spans="2:10">
      <c r="C91" s="2" t="s">
        <v>376</v>
      </c>
      <c r="D91" s="2"/>
      <c r="E91" s="2"/>
      <c r="F91" s="312"/>
      <c r="G91" s="312"/>
      <c r="H91" s="312"/>
      <c r="I91" s="332" t="s">
        <v>14</v>
      </c>
      <c r="J91" s="332" t="s">
        <v>14</v>
      </c>
    </row>
    <row r="92" spans="2:10">
      <c r="C92" s="308" t="s">
        <v>377</v>
      </c>
      <c r="D92" s="308"/>
      <c r="E92" s="308"/>
      <c r="F92" s="312"/>
      <c r="G92" s="312"/>
      <c r="H92" s="312"/>
      <c r="I92" s="364" t="s">
        <v>14</v>
      </c>
      <c r="J92" s="364" t="s">
        <v>14</v>
      </c>
    </row>
    <row r="93" spans="2:10">
      <c r="C93" s="2"/>
      <c r="D93" s="2"/>
      <c r="E93" s="2"/>
      <c r="F93" s="312"/>
      <c r="G93" s="312"/>
      <c r="H93" s="312"/>
      <c r="I93" s="331"/>
      <c r="J93" s="331"/>
    </row>
    <row r="94" spans="2:10">
      <c r="B94" s="309" t="s">
        <v>378</v>
      </c>
      <c r="C94" s="308"/>
      <c r="D94" s="308"/>
      <c r="E94" s="308"/>
      <c r="F94" s="313"/>
      <c r="G94" s="313"/>
      <c r="H94" s="313"/>
      <c r="I94" s="364" t="s">
        <v>14</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14</v>
      </c>
      <c r="J99" s="332" t="s">
        <v>14</v>
      </c>
    </row>
    <row r="100" spans="2:10">
      <c r="C100" s="2" t="s">
        <v>381</v>
      </c>
      <c r="D100" s="2"/>
      <c r="E100" s="2"/>
      <c r="F100" s="312"/>
      <c r="G100" s="312"/>
      <c r="H100" s="312"/>
      <c r="I100" s="332" t="s">
        <v>14</v>
      </c>
      <c r="J100" s="332" t="s">
        <v>14</v>
      </c>
    </row>
    <row r="101" spans="2:10">
      <c r="C101" s="2" t="s">
        <v>382</v>
      </c>
      <c r="D101" s="2"/>
      <c r="E101" s="2"/>
      <c r="F101" s="312"/>
      <c r="G101" s="312"/>
      <c r="H101" s="312"/>
      <c r="I101" s="332" t="s">
        <v>14</v>
      </c>
      <c r="J101" s="332" t="s">
        <v>14</v>
      </c>
    </row>
    <row r="102" spans="2:10">
      <c r="C102" s="308" t="s">
        <v>534</v>
      </c>
      <c r="D102" s="2"/>
      <c r="E102" s="2"/>
      <c r="F102" s="312"/>
      <c r="G102" s="312"/>
      <c r="H102" s="312"/>
      <c r="I102" s="364" t="s">
        <v>14</v>
      </c>
      <c r="J102" s="364" t="s">
        <v>14</v>
      </c>
    </row>
    <row r="103" spans="2:10">
      <c r="C103" s="2" t="s">
        <v>524</v>
      </c>
      <c r="D103" s="2"/>
      <c r="E103" s="2"/>
      <c r="F103" s="312"/>
      <c r="G103" s="312"/>
      <c r="H103" s="312"/>
      <c r="I103" s="332" t="s">
        <v>14</v>
      </c>
      <c r="J103" s="332" t="s">
        <v>14</v>
      </c>
    </row>
    <row r="104" spans="2:10">
      <c r="C104" s="2" t="s">
        <v>383</v>
      </c>
      <c r="D104" s="2"/>
      <c r="E104" s="2"/>
      <c r="F104" s="312"/>
      <c r="G104" s="312"/>
      <c r="H104" s="312"/>
      <c r="I104" s="332" t="s">
        <v>14</v>
      </c>
      <c r="J104" s="332" t="s">
        <v>14</v>
      </c>
    </row>
    <row r="105" spans="2:10">
      <c r="C105" s="2" t="s">
        <v>384</v>
      </c>
      <c r="D105" s="2"/>
      <c r="E105" s="2"/>
      <c r="F105" s="312"/>
      <c r="G105" s="312"/>
      <c r="H105" s="312"/>
      <c r="I105" s="332" t="s">
        <v>14</v>
      </c>
      <c r="J105" s="332" t="s">
        <v>14</v>
      </c>
    </row>
    <row r="106" spans="2:10">
      <c r="C106" s="2" t="s">
        <v>544</v>
      </c>
      <c r="D106" s="2"/>
      <c r="E106" s="2"/>
      <c r="F106" s="312"/>
      <c r="G106" s="312"/>
      <c r="H106" s="312"/>
      <c r="I106" s="332" t="s">
        <v>14</v>
      </c>
      <c r="J106" s="332" t="s">
        <v>14</v>
      </c>
    </row>
    <row r="107" spans="2:10">
      <c r="C107" s="2" t="s">
        <v>385</v>
      </c>
      <c r="D107" s="2"/>
      <c r="E107" s="2"/>
      <c r="F107" s="312"/>
      <c r="G107" s="312"/>
      <c r="H107" s="312"/>
      <c r="I107" s="332" t="s">
        <v>14</v>
      </c>
      <c r="J107" s="332" t="s">
        <v>14</v>
      </c>
    </row>
    <row r="108" spans="2:10">
      <c r="C108" s="2" t="s">
        <v>386</v>
      </c>
      <c r="D108" s="2"/>
      <c r="E108" s="2"/>
      <c r="F108" s="312"/>
      <c r="G108" s="312"/>
      <c r="H108" s="312"/>
      <c r="I108" s="332" t="s">
        <v>14</v>
      </c>
      <c r="J108" s="332" t="s">
        <v>14</v>
      </c>
    </row>
    <row r="109" spans="2:10">
      <c r="C109" s="2" t="s">
        <v>523</v>
      </c>
      <c r="D109" s="2"/>
      <c r="E109" s="2"/>
      <c r="F109" s="312"/>
      <c r="G109" s="312"/>
      <c r="H109" s="312"/>
      <c r="I109" s="332" t="s">
        <v>14</v>
      </c>
      <c r="J109" s="332" t="s">
        <v>14</v>
      </c>
    </row>
    <row r="110" spans="2:10">
      <c r="C110" s="308" t="s">
        <v>526</v>
      </c>
      <c r="D110" s="2"/>
      <c r="E110" s="2"/>
      <c r="F110" s="312"/>
      <c r="G110" s="312"/>
      <c r="H110" s="312"/>
      <c r="I110" s="364" t="s">
        <v>14</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t="s">
        <v>14</v>
      </c>
      <c r="J115" s="332" t="s">
        <v>14</v>
      </c>
    </row>
    <row r="116" spans="3:10">
      <c r="C116" s="315" t="s">
        <v>342</v>
      </c>
      <c r="D116" s="315"/>
      <c r="E116" s="315"/>
      <c r="F116" s="315"/>
      <c r="G116" s="315"/>
      <c r="H116" s="315"/>
      <c r="I116" s="332" t="s">
        <v>14</v>
      </c>
      <c r="J116" s="332" t="s">
        <v>14</v>
      </c>
    </row>
    <row r="117" spans="3:10">
      <c r="C117" s="315" t="s">
        <v>390</v>
      </c>
      <c r="D117" s="315"/>
      <c r="E117" s="315"/>
      <c r="F117" s="315"/>
      <c r="G117" s="315"/>
      <c r="H117" s="315"/>
      <c r="I117" s="332" t="s">
        <v>14</v>
      </c>
      <c r="J117" s="332" t="s">
        <v>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t="s">
        <v>14</v>
      </c>
      <c r="J120" s="332" t="s">
        <v>14</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330"/>
      <c r="J123" s="330"/>
    </row>
    <row r="124" spans="3:10">
      <c r="C124" s="315" t="s">
        <v>392</v>
      </c>
      <c r="D124" s="315"/>
      <c r="E124" s="315"/>
      <c r="F124" s="315"/>
      <c r="G124" s="315"/>
      <c r="H124" s="315"/>
      <c r="I124" s="332" t="s">
        <v>14</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330"/>
      <c r="J128" s="330"/>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t="s">
        <v>14</v>
      </c>
      <c r="J134" s="332" t="s">
        <v>14</v>
      </c>
    </row>
    <row r="135" spans="2:10">
      <c r="C135" s="2" t="s">
        <v>398</v>
      </c>
      <c r="D135" s="2"/>
      <c r="E135" s="2"/>
      <c r="F135" s="312"/>
      <c r="G135" s="312"/>
      <c r="H135" s="312"/>
      <c r="I135" s="332" t="s">
        <v>14</v>
      </c>
      <c r="J135" s="332" t="s">
        <v>14</v>
      </c>
    </row>
    <row r="136" spans="2:10">
      <c r="C136" s="2" t="s">
        <v>399</v>
      </c>
      <c r="D136" s="2"/>
      <c r="E136" s="2"/>
      <c r="F136" s="312"/>
      <c r="G136" s="312"/>
      <c r="H136" s="312"/>
      <c r="I136" s="332" t="s">
        <v>14</v>
      </c>
      <c r="J136" s="332" t="s">
        <v>14</v>
      </c>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332" t="s">
        <v>14</v>
      </c>
      <c r="J139" s="332" t="s">
        <v>14</v>
      </c>
    </row>
    <row r="140" spans="2:10">
      <c r="C140" s="2" t="s">
        <v>402</v>
      </c>
      <c r="D140" s="2"/>
      <c r="E140" s="2"/>
      <c r="F140" s="312"/>
      <c r="G140" s="312"/>
      <c r="H140" s="312"/>
      <c r="I140" s="332" t="s">
        <v>14</v>
      </c>
      <c r="J140" s="332" t="s">
        <v>14</v>
      </c>
    </row>
    <row r="141" spans="2:10">
      <c r="C141" s="312" t="s">
        <v>403</v>
      </c>
      <c r="D141" s="312"/>
      <c r="E141" s="312"/>
      <c r="F141" s="312"/>
      <c r="G141" s="312"/>
      <c r="H141" s="312"/>
      <c r="I141" s="332" t="s">
        <v>14</v>
      </c>
      <c r="J141" s="332" t="s">
        <v>14</v>
      </c>
    </row>
    <row r="142" spans="2:10">
      <c r="C142" s="312" t="s">
        <v>404</v>
      </c>
      <c r="D142" s="312"/>
      <c r="E142" s="312"/>
      <c r="F142" s="312"/>
      <c r="G142" s="312"/>
      <c r="H142" s="312"/>
      <c r="I142" s="332" t="s">
        <v>14</v>
      </c>
      <c r="J142" s="332" t="s">
        <v>14</v>
      </c>
    </row>
    <row r="143" spans="2:10">
      <c r="C143" s="312" t="s">
        <v>405</v>
      </c>
      <c r="D143" s="312"/>
      <c r="E143" s="312"/>
      <c r="F143" s="312"/>
      <c r="G143" s="312"/>
      <c r="H143" s="312"/>
      <c r="I143" s="332" t="s">
        <v>14</v>
      </c>
      <c r="J143" s="332" t="s">
        <v>14</v>
      </c>
    </row>
    <row r="144" spans="2:10">
      <c r="C144" s="2" t="s">
        <v>406</v>
      </c>
      <c r="D144" s="2"/>
      <c r="E144" s="2"/>
      <c r="F144" s="312"/>
      <c r="G144" s="312"/>
      <c r="H144" s="312"/>
      <c r="I144" s="332" t="s">
        <v>14</v>
      </c>
      <c r="J144" s="332" t="s">
        <v>14</v>
      </c>
    </row>
    <row r="145" spans="3:10">
      <c r="C145" s="2" t="s">
        <v>407</v>
      </c>
      <c r="D145" s="2"/>
      <c r="E145" s="2"/>
      <c r="F145" s="312"/>
      <c r="G145" s="312"/>
      <c r="H145" s="312"/>
      <c r="I145" s="332" t="s">
        <v>14</v>
      </c>
      <c r="J145" s="332" t="s">
        <v>14</v>
      </c>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2" t="s">
        <v>14</v>
      </c>
      <c r="J148" s="332" t="s">
        <v>14</v>
      </c>
    </row>
    <row r="149" spans="3:10">
      <c r="C149" s="312" t="s">
        <v>411</v>
      </c>
      <c r="D149" s="312"/>
      <c r="E149" s="312"/>
      <c r="F149" s="312"/>
      <c r="G149" s="312"/>
      <c r="H149" s="312"/>
      <c r="I149" s="332" t="s">
        <v>14</v>
      </c>
      <c r="J149" s="332" t="s">
        <v>14</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2" t="s">
        <v>14</v>
      </c>
      <c r="J154" s="332" t="s">
        <v>14</v>
      </c>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2" t="s">
        <v>14</v>
      </c>
      <c r="J156" s="332" t="s">
        <v>14</v>
      </c>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2" t="s">
        <v>14</v>
      </c>
      <c r="J162" s="332" t="s">
        <v>14</v>
      </c>
    </row>
    <row r="163" spans="3:10">
      <c r="C163" s="312" t="s">
        <v>425</v>
      </c>
      <c r="D163" s="312"/>
      <c r="E163" s="312"/>
      <c r="F163" s="312"/>
      <c r="G163" s="312"/>
      <c r="H163" s="312"/>
      <c r="I163" s="332" t="s">
        <v>14</v>
      </c>
      <c r="J163" s="332" t="s">
        <v>14</v>
      </c>
    </row>
    <row r="164" spans="3:10">
      <c r="C164" s="312" t="s">
        <v>426</v>
      </c>
      <c r="D164" s="312"/>
      <c r="E164" s="312"/>
      <c r="F164" s="312"/>
      <c r="G164" s="312"/>
      <c r="H164" s="312"/>
      <c r="I164" s="332" t="s">
        <v>14</v>
      </c>
      <c r="J164" s="332" t="s">
        <v>14</v>
      </c>
    </row>
    <row r="165" spans="3:10">
      <c r="C165" s="315" t="s">
        <v>427</v>
      </c>
      <c r="D165" s="315"/>
      <c r="E165" s="315"/>
      <c r="F165" s="315"/>
      <c r="G165" s="315"/>
      <c r="H165" s="315"/>
      <c r="I165" s="332" t="s">
        <v>14</v>
      </c>
      <c r="J165" s="332" t="s">
        <v>14</v>
      </c>
    </row>
    <row r="166" spans="3:10">
      <c r="C166" s="315" t="s">
        <v>428</v>
      </c>
      <c r="D166" s="315"/>
      <c r="E166" s="315"/>
      <c r="F166" s="315"/>
      <c r="G166" s="315"/>
      <c r="H166" s="315"/>
      <c r="I166" s="332" t="s">
        <v>14</v>
      </c>
      <c r="J166" s="332" t="s">
        <v>14</v>
      </c>
    </row>
    <row r="167" spans="3:10">
      <c r="C167" s="312" t="s">
        <v>429</v>
      </c>
      <c r="D167" s="312"/>
      <c r="E167" s="312"/>
      <c r="F167" s="312"/>
      <c r="G167" s="312"/>
      <c r="H167" s="312"/>
      <c r="I167" s="332" t="s">
        <v>14</v>
      </c>
      <c r="J167" s="332" t="s">
        <v>14</v>
      </c>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2" t="s">
        <v>14</v>
      </c>
      <c r="J170" s="332" t="s">
        <v>14</v>
      </c>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2" t="s">
        <v>14</v>
      </c>
      <c r="J173" s="332" t="s">
        <v>14</v>
      </c>
    </row>
    <row r="174" spans="3:10">
      <c r="C174" s="315" t="s">
        <v>432</v>
      </c>
      <c r="D174" s="315"/>
      <c r="E174" s="315"/>
      <c r="F174" s="315"/>
      <c r="G174" s="315"/>
      <c r="H174" s="315"/>
      <c r="I174" s="332" t="s">
        <v>14</v>
      </c>
      <c r="J174" s="332" t="s">
        <v>14</v>
      </c>
    </row>
    <row r="175" spans="3:10">
      <c r="C175" s="315" t="s">
        <v>433</v>
      </c>
      <c r="D175" s="315"/>
      <c r="E175" s="315"/>
      <c r="F175" s="315"/>
      <c r="G175" s="315"/>
      <c r="H175" s="315"/>
      <c r="I175" s="332" t="s">
        <v>14</v>
      </c>
      <c r="J175" s="332" t="s">
        <v>14</v>
      </c>
    </row>
    <row r="176" spans="3:10">
      <c r="C176" s="315" t="s">
        <v>434</v>
      </c>
      <c r="D176" s="315"/>
      <c r="E176" s="315"/>
      <c r="F176" s="315"/>
      <c r="G176" s="315"/>
      <c r="H176" s="315"/>
      <c r="I176" s="332" t="s">
        <v>14</v>
      </c>
      <c r="J176" s="332" t="s">
        <v>14</v>
      </c>
    </row>
    <row r="177" spans="3:10">
      <c r="C177" s="315" t="s">
        <v>435</v>
      </c>
      <c r="D177" s="315"/>
      <c r="E177" s="315"/>
      <c r="F177" s="315"/>
      <c r="G177" s="315"/>
      <c r="H177" s="315"/>
      <c r="I177" s="332" t="s">
        <v>14</v>
      </c>
      <c r="J177" s="332" t="s">
        <v>14</v>
      </c>
    </row>
    <row r="178" spans="3:10">
      <c r="C178" s="310" t="s">
        <v>422</v>
      </c>
      <c r="D178" s="310"/>
      <c r="E178" s="310"/>
      <c r="F178" s="312"/>
      <c r="G178" s="312"/>
      <c r="H178" s="312"/>
      <c r="I178" s="332" t="s">
        <v>14</v>
      </c>
      <c r="J178" s="332" t="s">
        <v>14</v>
      </c>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2" t="s">
        <v>14</v>
      </c>
      <c r="J187" s="332" t="s">
        <v>14</v>
      </c>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2" t="s">
        <v>14</v>
      </c>
      <c r="J193" s="332" t="s">
        <v>14</v>
      </c>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2" t="s">
        <v>14</v>
      </c>
      <c r="J210" s="332" t="s">
        <v>14</v>
      </c>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f>Detail!P27</f>
        <v>40057</v>
      </c>
      <c r="J225" s="364">
        <f>Detail!P27</f>
        <v>40057</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332" t="s">
        <v>14</v>
      </c>
    </row>
    <row r="231" spans="2:10">
      <c r="C231" s="312" t="s">
        <v>477</v>
      </c>
      <c r="D231" s="312"/>
      <c r="E231" s="312"/>
      <c r="F231" s="312"/>
      <c r="G231" s="312"/>
      <c r="H231" s="312"/>
      <c r="I231" s="332" t="s">
        <v>14</v>
      </c>
      <c r="J231" s="332" t="s">
        <v>14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f>Detail!R27</f>
        <v>40057</v>
      </c>
      <c r="J235" s="364">
        <f>Detail!R27</f>
        <v>40057</v>
      </c>
    </row>
    <row r="236" spans="2:10">
      <c r="C236" s="308" t="s">
        <v>480</v>
      </c>
      <c r="D236" s="2"/>
      <c r="E236" s="2"/>
      <c r="F236" s="312"/>
      <c r="G236" s="312"/>
      <c r="H236" s="312"/>
      <c r="I236" s="332" t="s">
        <v>14</v>
      </c>
      <c r="J236" s="332" t="s">
        <v>14</v>
      </c>
    </row>
    <row r="237" spans="2:10">
      <c r="C237" s="2" t="s">
        <v>481</v>
      </c>
      <c r="D237" s="2"/>
      <c r="E237" s="2"/>
      <c r="F237" s="312"/>
      <c r="G237" s="312"/>
      <c r="H237" s="312"/>
      <c r="I237" s="364" t="s">
        <v>14</v>
      </c>
      <c r="J237" s="364" t="s">
        <v>14</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14</v>
      </c>
      <c r="J253" s="332" t="s">
        <v>14</v>
      </c>
    </row>
    <row r="254" spans="2:10">
      <c r="C254" s="308" t="s">
        <v>539</v>
      </c>
      <c r="D254" s="2"/>
      <c r="E254" s="2"/>
      <c r="F254" s="312"/>
      <c r="G254" s="312"/>
      <c r="H254" s="312"/>
      <c r="I254" s="364" t="s">
        <v>14</v>
      </c>
      <c r="J254" s="364" t="s">
        <v>14</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14</v>
      </c>
      <c r="J267" s="332" t="s">
        <v>14</v>
      </c>
    </row>
    <row r="268" spans="2:10">
      <c r="C268" s="312" t="s">
        <v>495</v>
      </c>
      <c r="D268" s="312"/>
      <c r="E268" s="312"/>
      <c r="F268" s="312"/>
      <c r="G268" s="312"/>
      <c r="H268" s="312"/>
      <c r="I268" s="332" t="s">
        <v>14</v>
      </c>
      <c r="J268" s="332" t="s">
        <v>14</v>
      </c>
    </row>
    <row r="269" spans="2:10">
      <c r="C269" s="312" t="s">
        <v>496</v>
      </c>
      <c r="D269" s="312"/>
      <c r="E269" s="312"/>
      <c r="F269" s="312"/>
      <c r="G269" s="312"/>
      <c r="H269" s="312"/>
      <c r="I269" s="332" t="s">
        <v>14</v>
      </c>
      <c r="J269" s="332" t="s">
        <v>14</v>
      </c>
    </row>
    <row r="270" spans="2:10">
      <c r="C270" s="312" t="s">
        <v>497</v>
      </c>
      <c r="D270" s="312"/>
      <c r="E270" s="312"/>
      <c r="F270" s="312"/>
      <c r="G270" s="312"/>
      <c r="H270" s="312"/>
      <c r="I270" s="332" t="s">
        <v>14</v>
      </c>
      <c r="J270" s="332" t="s">
        <v>14</v>
      </c>
    </row>
    <row r="271" spans="2:10">
      <c r="C271" s="312" t="s">
        <v>498</v>
      </c>
      <c r="D271" s="312"/>
      <c r="E271" s="312"/>
      <c r="F271" s="312"/>
      <c r="G271" s="312"/>
      <c r="H271" s="312"/>
      <c r="I271" s="332" t="s">
        <v>14</v>
      </c>
      <c r="J271" s="332" t="s">
        <v>14</v>
      </c>
    </row>
    <row r="272" spans="2:10">
      <c r="C272" s="312" t="s">
        <v>499</v>
      </c>
      <c r="D272" s="312"/>
      <c r="E272" s="312"/>
      <c r="F272" s="312"/>
      <c r="G272" s="312"/>
      <c r="H272" s="312"/>
      <c r="I272" s="332" t="s">
        <v>14</v>
      </c>
      <c r="J272" s="332" t="s">
        <v>14</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I291" s="2"/>
      <c r="J291" s="7"/>
      <c r="K291" s="2"/>
      <c r="L291" s="2"/>
      <c r="M291" s="301"/>
      <c r="N291" s="2"/>
      <c r="O291" s="301"/>
    </row>
  </sheetData>
  <sheetProtection selectLockedCells="1"/>
  <mergeCells count="109">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39:D39"/>
    <mergeCell ref="H39:M39"/>
    <mergeCell ref="C40:D40"/>
    <mergeCell ref="H40:M40"/>
    <mergeCell ref="C41:D41"/>
    <mergeCell ref="H41:M41"/>
    <mergeCell ref="C24:D24"/>
    <mergeCell ref="F24:G24"/>
    <mergeCell ref="K24:M24"/>
    <mergeCell ref="C27:M34"/>
    <mergeCell ref="H37:M37"/>
    <mergeCell ref="C38:D38"/>
    <mergeCell ref="H38:M38"/>
    <mergeCell ref="C45:D45"/>
    <mergeCell ref="H45:M45"/>
    <mergeCell ref="C46:D46"/>
    <mergeCell ref="H46:M46"/>
    <mergeCell ref="C47:D47"/>
    <mergeCell ref="H47:M47"/>
    <mergeCell ref="C42:D42"/>
    <mergeCell ref="H42:M42"/>
    <mergeCell ref="C43:D43"/>
    <mergeCell ref="H43:M43"/>
    <mergeCell ref="C44:D44"/>
    <mergeCell ref="H44:M44"/>
    <mergeCell ref="C51:D51"/>
    <mergeCell ref="H51:M51"/>
    <mergeCell ref="C52:D52"/>
    <mergeCell ref="H52:M52"/>
    <mergeCell ref="C53:D53"/>
    <mergeCell ref="H53:M53"/>
    <mergeCell ref="C48:D48"/>
    <mergeCell ref="H48:M48"/>
    <mergeCell ref="C49:D49"/>
    <mergeCell ref="H49:M49"/>
    <mergeCell ref="C50:D50"/>
    <mergeCell ref="H50:M50"/>
    <mergeCell ref="I65:J65"/>
    <mergeCell ref="C57:D57"/>
    <mergeCell ref="H57:M57"/>
    <mergeCell ref="C58:D58"/>
    <mergeCell ref="H58:M58"/>
    <mergeCell ref="I63:J63"/>
    <mergeCell ref="I64:J64"/>
    <mergeCell ref="C54:D54"/>
    <mergeCell ref="H54:M54"/>
    <mergeCell ref="C55:D55"/>
    <mergeCell ref="H55:M55"/>
    <mergeCell ref="C56:D56"/>
    <mergeCell ref="H56:M56"/>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3F52B"/>
  </sheetPr>
  <dimension ref="A1:K36"/>
  <sheetViews>
    <sheetView workbookViewId="0">
      <selection activeCell="M12" sqref="M12"/>
    </sheetView>
  </sheetViews>
  <sheetFormatPr baseColWidth="10" defaultColWidth="9.1640625" defaultRowHeight="15"/>
  <cols>
    <col min="1" max="1" width="5" style="2" customWidth="1"/>
    <col min="2" max="2" width="8.1640625" style="2" customWidth="1"/>
    <col min="3" max="3" width="7.5" style="2" customWidth="1"/>
    <col min="4" max="4" width="11" style="584" customWidth="1"/>
    <col min="5" max="5" width="9.1640625" style="585"/>
    <col min="6" max="6" width="10.5" style="584" customWidth="1"/>
    <col min="7" max="16384" width="9.1640625" style="2"/>
  </cols>
  <sheetData>
    <row r="1" spans="1:11">
      <c r="A1" s="575" t="s">
        <v>40</v>
      </c>
      <c r="D1" s="576" t="s">
        <v>629</v>
      </c>
      <c r="E1" s="577" t="s">
        <v>630</v>
      </c>
      <c r="F1" s="576" t="s">
        <v>631</v>
      </c>
    </row>
    <row r="2" spans="1:11">
      <c r="A2" s="578" t="s">
        <v>632</v>
      </c>
      <c r="B2" s="578"/>
      <c r="C2" s="578"/>
      <c r="D2" s="579">
        <v>540000</v>
      </c>
      <c r="E2" s="580">
        <v>0.25</v>
      </c>
      <c r="F2" s="579">
        <f>D2*(1-E2)</f>
        <v>405000</v>
      </c>
    </row>
    <row r="3" spans="1:11" s="7" customFormat="1">
      <c r="A3" s="581"/>
      <c r="B3" s="581" t="s">
        <v>750</v>
      </c>
      <c r="C3" s="581"/>
      <c r="D3" s="582"/>
      <c r="E3" s="583"/>
      <c r="F3" s="582"/>
    </row>
    <row r="4" spans="1:11">
      <c r="B4" s="591" t="s">
        <v>727</v>
      </c>
      <c r="C4" s="592"/>
      <c r="D4" s="592"/>
      <c r="E4" s="592"/>
      <c r="F4" s="592"/>
      <c r="G4" s="592"/>
      <c r="H4" s="592"/>
      <c r="I4" s="592"/>
      <c r="J4" s="592"/>
      <c r="K4" s="592"/>
    </row>
    <row r="5" spans="1:11">
      <c r="B5" s="588" t="s">
        <v>636</v>
      </c>
      <c r="C5" s="839" t="s">
        <v>674</v>
      </c>
      <c r="D5" s="839"/>
      <c r="E5" s="839"/>
      <c r="F5" s="839"/>
      <c r="G5" s="839"/>
      <c r="H5" s="839"/>
      <c r="I5" s="839"/>
      <c r="J5" s="839"/>
      <c r="K5" s="839"/>
    </row>
    <row r="6" spans="1:11">
      <c r="B6" s="588" t="s">
        <v>638</v>
      </c>
      <c r="C6" s="839" t="s">
        <v>675</v>
      </c>
      <c r="D6" s="839"/>
      <c r="E6" s="839"/>
      <c r="F6" s="839"/>
      <c r="G6" s="839"/>
      <c r="H6" s="839"/>
      <c r="I6" s="839"/>
      <c r="J6" s="839"/>
      <c r="K6" s="839"/>
    </row>
    <row r="7" spans="1:11">
      <c r="B7" s="588" t="s">
        <v>640</v>
      </c>
      <c r="C7" s="839" t="s">
        <v>728</v>
      </c>
      <c r="D7" s="839"/>
      <c r="E7" s="839"/>
      <c r="F7" s="839"/>
      <c r="G7" s="839"/>
      <c r="H7" s="839"/>
      <c r="I7" s="839"/>
      <c r="J7" s="839"/>
      <c r="K7" s="839"/>
    </row>
    <row r="8" spans="1:11" ht="30.75" customHeight="1">
      <c r="B8" s="588" t="s">
        <v>642</v>
      </c>
      <c r="C8" s="839" t="s">
        <v>729</v>
      </c>
      <c r="D8" s="839"/>
      <c r="E8" s="839"/>
      <c r="F8" s="839"/>
      <c r="G8" s="839"/>
      <c r="H8" s="839"/>
      <c r="I8" s="839"/>
      <c r="J8" s="839"/>
      <c r="K8" s="839"/>
    </row>
    <row r="9" spans="1:11" ht="30.75" customHeight="1">
      <c r="B9" s="588" t="s">
        <v>644</v>
      </c>
      <c r="C9" s="839" t="s">
        <v>731</v>
      </c>
      <c r="D9" s="839"/>
      <c r="E9" s="839"/>
      <c r="F9" s="839"/>
      <c r="G9" s="839"/>
      <c r="H9" s="839"/>
      <c r="I9" s="839"/>
      <c r="J9" s="839"/>
      <c r="K9" s="839"/>
    </row>
    <row r="10" spans="1:11" ht="30" customHeight="1">
      <c r="B10" s="588" t="s">
        <v>652</v>
      </c>
      <c r="C10" s="839" t="s">
        <v>734</v>
      </c>
      <c r="D10" s="839"/>
      <c r="E10" s="839"/>
      <c r="F10" s="839"/>
      <c r="G10" s="839"/>
      <c r="H10" s="839"/>
      <c r="I10" s="839"/>
      <c r="J10" s="839"/>
      <c r="K10" s="839"/>
    </row>
    <row r="11" spans="1:11">
      <c r="B11" s="588" t="s">
        <v>654</v>
      </c>
      <c r="C11" s="839" t="s">
        <v>735</v>
      </c>
      <c r="D11" s="839"/>
      <c r="E11" s="839"/>
      <c r="F11" s="839"/>
      <c r="G11" s="839"/>
      <c r="H11" s="839"/>
      <c r="I11" s="839"/>
      <c r="J11" s="839"/>
      <c r="K11" s="839"/>
    </row>
    <row r="12" spans="1:11">
      <c r="B12" s="588"/>
      <c r="C12" s="839" t="s">
        <v>751</v>
      </c>
      <c r="D12" s="839"/>
      <c r="E12" s="839"/>
      <c r="F12" s="839"/>
      <c r="G12" s="839"/>
      <c r="H12" s="839"/>
      <c r="I12" s="839"/>
      <c r="J12" s="839"/>
      <c r="K12" s="839"/>
    </row>
    <row r="13" spans="1:11" ht="29.25" customHeight="1">
      <c r="B13" s="588"/>
      <c r="C13" s="839" t="s">
        <v>737</v>
      </c>
      <c r="D13" s="839"/>
      <c r="E13" s="839"/>
      <c r="F13" s="839"/>
      <c r="G13" s="839"/>
      <c r="H13" s="839"/>
      <c r="I13" s="839"/>
      <c r="J13" s="839"/>
      <c r="K13" s="839"/>
    </row>
    <row r="14" spans="1:11">
      <c r="B14" s="588"/>
      <c r="C14" s="839" t="s">
        <v>738</v>
      </c>
      <c r="D14" s="839"/>
      <c r="E14" s="839"/>
      <c r="F14" s="839"/>
      <c r="G14" s="839"/>
      <c r="H14" s="839"/>
      <c r="I14" s="839"/>
      <c r="J14" s="839"/>
      <c r="K14" s="839"/>
    </row>
    <row r="15" spans="1:11">
      <c r="B15" s="588"/>
      <c r="C15" s="839" t="s">
        <v>739</v>
      </c>
      <c r="D15" s="839"/>
      <c r="E15" s="839"/>
      <c r="F15" s="839"/>
      <c r="G15" s="839"/>
      <c r="H15" s="839"/>
      <c r="I15" s="839"/>
      <c r="J15" s="839"/>
      <c r="K15" s="839"/>
    </row>
    <row r="16" spans="1:11" ht="29.25" customHeight="1">
      <c r="B16" s="588"/>
      <c r="C16" s="839" t="s">
        <v>740</v>
      </c>
      <c r="D16" s="839"/>
      <c r="E16" s="839"/>
      <c r="F16" s="839"/>
      <c r="G16" s="839"/>
      <c r="H16" s="839"/>
      <c r="I16" s="839"/>
      <c r="J16" s="839"/>
      <c r="K16" s="839"/>
    </row>
    <row r="17" spans="2:11">
      <c r="B17" s="588"/>
      <c r="C17" s="839" t="s">
        <v>741</v>
      </c>
      <c r="D17" s="839"/>
      <c r="E17" s="839"/>
      <c r="F17" s="839"/>
      <c r="G17" s="839"/>
      <c r="H17" s="839"/>
      <c r="I17" s="839"/>
      <c r="J17" s="839"/>
      <c r="K17" s="839"/>
    </row>
    <row r="18" spans="2:11" ht="45.75" customHeight="1">
      <c r="B18" s="588"/>
      <c r="C18" s="839" t="s">
        <v>742</v>
      </c>
      <c r="D18" s="839"/>
      <c r="E18" s="839"/>
      <c r="F18" s="839"/>
      <c r="G18" s="839"/>
      <c r="H18" s="839"/>
      <c r="I18" s="839"/>
      <c r="J18" s="839"/>
      <c r="K18" s="839"/>
    </row>
    <row r="19" spans="2:11">
      <c r="B19" s="588"/>
      <c r="C19" s="839" t="s">
        <v>743</v>
      </c>
      <c r="D19" s="839"/>
      <c r="E19" s="839"/>
      <c r="F19" s="839"/>
      <c r="G19" s="839"/>
      <c r="H19" s="839"/>
      <c r="I19" s="839"/>
      <c r="J19" s="839"/>
      <c r="K19" s="839"/>
    </row>
    <row r="20" spans="2:11" ht="30" customHeight="1">
      <c r="B20" s="588"/>
      <c r="C20" s="839" t="s">
        <v>744</v>
      </c>
      <c r="D20" s="839"/>
      <c r="E20" s="839"/>
      <c r="F20" s="839"/>
      <c r="G20" s="839"/>
      <c r="H20" s="839"/>
      <c r="I20" s="839"/>
      <c r="J20" s="839"/>
      <c r="K20" s="839"/>
    </row>
    <row r="21" spans="2:11" ht="30" customHeight="1">
      <c r="B21" s="588"/>
      <c r="C21" s="839" t="s">
        <v>721</v>
      </c>
      <c r="D21" s="839"/>
      <c r="E21" s="839"/>
      <c r="F21" s="839"/>
      <c r="G21" s="839"/>
      <c r="H21" s="839"/>
      <c r="I21" s="839"/>
      <c r="J21" s="839"/>
      <c r="K21" s="839"/>
    </row>
    <row r="22" spans="2:11">
      <c r="B22" s="588"/>
      <c r="C22" s="839"/>
      <c r="D22" s="839"/>
      <c r="E22" s="839"/>
      <c r="F22" s="839"/>
      <c r="G22" s="839"/>
      <c r="H22" s="839"/>
      <c r="I22" s="839"/>
      <c r="J22" s="839"/>
      <c r="K22" s="839"/>
    </row>
    <row r="23" spans="2:11">
      <c r="B23" s="588"/>
      <c r="C23" s="839"/>
      <c r="D23" s="839"/>
      <c r="E23" s="839"/>
      <c r="F23" s="839"/>
      <c r="G23" s="839"/>
      <c r="H23" s="839"/>
      <c r="I23" s="839"/>
      <c r="J23" s="839"/>
      <c r="K23" s="839"/>
    </row>
    <row r="24" spans="2:11">
      <c r="B24" s="588"/>
      <c r="C24" s="839"/>
      <c r="D24" s="839"/>
      <c r="E24" s="839"/>
      <c r="F24" s="839"/>
      <c r="G24" s="839"/>
      <c r="H24" s="839"/>
      <c r="I24" s="839"/>
      <c r="J24" s="839"/>
      <c r="K24" s="839"/>
    </row>
    <row r="25" spans="2:11">
      <c r="B25" s="588"/>
      <c r="C25" s="839"/>
      <c r="D25" s="839"/>
      <c r="E25" s="839"/>
      <c r="F25" s="839"/>
      <c r="G25" s="839"/>
      <c r="H25" s="839"/>
      <c r="I25" s="839"/>
      <c r="J25" s="839"/>
      <c r="K25" s="839"/>
    </row>
    <row r="26" spans="2:11">
      <c r="B26" s="588"/>
      <c r="C26" s="839"/>
      <c r="D26" s="839"/>
      <c r="E26" s="839"/>
      <c r="F26" s="839"/>
      <c r="G26" s="839"/>
      <c r="H26" s="839"/>
      <c r="I26" s="839"/>
      <c r="J26" s="839"/>
      <c r="K26" s="839"/>
    </row>
    <row r="27" spans="2:11">
      <c r="B27" s="588"/>
      <c r="C27" s="839"/>
      <c r="D27" s="839"/>
      <c r="E27" s="839"/>
      <c r="F27" s="839"/>
      <c r="G27" s="839"/>
      <c r="H27" s="839"/>
      <c r="I27" s="839"/>
      <c r="J27" s="839"/>
      <c r="K27" s="839"/>
    </row>
    <row r="28" spans="2:11">
      <c r="B28" s="588"/>
      <c r="C28" s="839"/>
      <c r="D28" s="839"/>
      <c r="E28" s="839"/>
      <c r="F28" s="839"/>
      <c r="G28" s="839"/>
      <c r="H28" s="839"/>
      <c r="I28" s="839"/>
      <c r="J28" s="839"/>
      <c r="K28" s="839"/>
    </row>
    <row r="29" spans="2:11">
      <c r="B29" s="588"/>
      <c r="C29" s="839"/>
      <c r="D29" s="839"/>
      <c r="E29" s="839"/>
      <c r="F29" s="839"/>
      <c r="G29" s="839"/>
      <c r="H29" s="839"/>
      <c r="I29" s="839"/>
      <c r="J29" s="839"/>
      <c r="K29" s="839"/>
    </row>
    <row r="30" spans="2:11">
      <c r="B30" s="588"/>
      <c r="C30" s="839"/>
      <c r="D30" s="839"/>
      <c r="E30" s="839"/>
      <c r="F30" s="839"/>
      <c r="G30" s="839"/>
      <c r="H30" s="839"/>
      <c r="I30" s="839"/>
      <c r="J30" s="839"/>
      <c r="K30" s="839"/>
    </row>
    <row r="31" spans="2:11">
      <c r="B31" s="588"/>
      <c r="C31" s="839"/>
      <c r="D31" s="839"/>
      <c r="E31" s="839"/>
      <c r="F31" s="839"/>
      <c r="G31" s="839"/>
      <c r="H31" s="839"/>
      <c r="I31" s="839"/>
      <c r="J31" s="839"/>
      <c r="K31" s="839"/>
    </row>
    <row r="32" spans="2:11">
      <c r="B32" s="588"/>
      <c r="C32" s="839"/>
      <c r="D32" s="839"/>
      <c r="E32" s="839"/>
      <c r="F32" s="839"/>
      <c r="G32" s="839"/>
      <c r="H32" s="839"/>
      <c r="I32" s="839"/>
      <c r="J32" s="839"/>
      <c r="K32" s="839"/>
    </row>
    <row r="33" spans="2:11">
      <c r="B33" s="588"/>
      <c r="C33" s="839"/>
      <c r="D33" s="839"/>
      <c r="E33" s="839"/>
      <c r="F33" s="839"/>
      <c r="G33" s="839"/>
      <c r="H33" s="839"/>
      <c r="I33" s="839"/>
      <c r="J33" s="839"/>
      <c r="K33" s="839"/>
    </row>
    <row r="34" spans="2:11">
      <c r="B34" s="588"/>
      <c r="C34" s="839"/>
      <c r="D34" s="839"/>
      <c r="E34" s="839"/>
      <c r="F34" s="839"/>
      <c r="G34" s="839"/>
      <c r="H34" s="839"/>
      <c r="I34" s="839"/>
      <c r="J34" s="839"/>
      <c r="K34" s="839"/>
    </row>
    <row r="35" spans="2:11">
      <c r="B35" s="588"/>
      <c r="C35" s="839"/>
      <c r="D35" s="839"/>
      <c r="E35" s="839"/>
      <c r="F35" s="839"/>
      <c r="G35" s="839"/>
      <c r="H35" s="839"/>
      <c r="I35" s="839"/>
      <c r="J35" s="839"/>
      <c r="K35" s="839"/>
    </row>
    <row r="36" spans="2:11">
      <c r="B36" s="588"/>
      <c r="C36" s="839"/>
      <c r="D36" s="839"/>
      <c r="E36" s="839"/>
      <c r="F36" s="839"/>
      <c r="G36" s="839"/>
      <c r="H36" s="839"/>
      <c r="I36" s="839"/>
      <c r="J36" s="839"/>
      <c r="K36" s="839"/>
    </row>
  </sheetData>
  <mergeCells count="32">
    <mergeCell ref="C35:K35"/>
    <mergeCell ref="C36:K36"/>
    <mergeCell ref="C29:K29"/>
    <mergeCell ref="C30:K30"/>
    <mergeCell ref="C31:K31"/>
    <mergeCell ref="C32:K32"/>
    <mergeCell ref="C33:K33"/>
    <mergeCell ref="C34:K34"/>
    <mergeCell ref="C28:K28"/>
    <mergeCell ref="C17:K17"/>
    <mergeCell ref="C18:K18"/>
    <mergeCell ref="C19:K19"/>
    <mergeCell ref="C20:K20"/>
    <mergeCell ref="C21:K21"/>
    <mergeCell ref="C22:K22"/>
    <mergeCell ref="C23:K23"/>
    <mergeCell ref="C24:K24"/>
    <mergeCell ref="C25:K25"/>
    <mergeCell ref="C26:K26"/>
    <mergeCell ref="C27:K27"/>
    <mergeCell ref="C16:K16"/>
    <mergeCell ref="C5:K5"/>
    <mergeCell ref="C6:K6"/>
    <mergeCell ref="C7:K7"/>
    <mergeCell ref="C8:K8"/>
    <mergeCell ref="C9:K9"/>
    <mergeCell ref="C10:K10"/>
    <mergeCell ref="C11:K11"/>
    <mergeCell ref="C12:K12"/>
    <mergeCell ref="C13:K13"/>
    <mergeCell ref="C14:K14"/>
    <mergeCell ref="C15:K15"/>
  </mergeCells>
  <pageMargins left="0.17" right="0.16"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5">
    <tabColor rgb="FF00B0F0"/>
  </sheetPr>
  <dimension ref="B1:U298"/>
  <sheetViews>
    <sheetView workbookViewId="0">
      <selection activeCell="AB28" sqref="AB28"/>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Detail!A28</f>
        <v>Grayslake Senior</v>
      </c>
      <c r="D2" s="341"/>
      <c r="E2" s="341"/>
      <c r="F2" s="120"/>
      <c r="G2" s="120"/>
      <c r="H2" s="120"/>
      <c r="I2" s="120"/>
      <c r="J2" s="120"/>
      <c r="K2" s="120"/>
      <c r="L2" s="120"/>
      <c r="M2" s="121"/>
      <c r="N2" s="319"/>
    </row>
    <row r="3" spans="2:21" s="122" customFormat="1" ht="20.25" customHeight="1" thickBot="1">
      <c r="B3" s="319"/>
      <c r="C3" s="136"/>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Detail!V28</f>
        <v>Senior</v>
      </c>
      <c r="G6" s="836"/>
      <c r="H6" s="357"/>
      <c r="I6" s="833" t="s">
        <v>219</v>
      </c>
      <c r="J6" s="834"/>
      <c r="K6" s="834"/>
      <c r="L6" s="837" t="str">
        <f>Detail!I28</f>
        <v>LIHTC - 9%</v>
      </c>
      <c r="M6" s="838"/>
      <c r="N6" s="318"/>
    </row>
    <row r="7" spans="2:21" ht="17.25" customHeight="1">
      <c r="B7" s="318"/>
      <c r="C7" s="796" t="s">
        <v>214</v>
      </c>
      <c r="D7" s="797"/>
      <c r="E7" s="352"/>
      <c r="F7" s="819" t="str">
        <f>Detail!C28</f>
        <v>Grayslake</v>
      </c>
      <c r="G7" s="820"/>
      <c r="H7" s="357"/>
      <c r="I7" s="796" t="s">
        <v>183</v>
      </c>
      <c r="J7" s="797"/>
      <c r="K7" s="797"/>
      <c r="L7" s="830" t="str">
        <f>Detail!J28</f>
        <v>AHP</v>
      </c>
      <c r="M7" s="831"/>
      <c r="N7" s="318"/>
    </row>
    <row r="8" spans="2:21" ht="35.25" customHeight="1">
      <c r="B8" s="318"/>
      <c r="C8" s="796" t="s">
        <v>9</v>
      </c>
      <c r="D8" s="797"/>
      <c r="E8" s="352"/>
      <c r="F8" s="819" t="str">
        <f>Detail!D28</f>
        <v>New Construction</v>
      </c>
      <c r="G8" s="820"/>
      <c r="H8" s="357"/>
      <c r="I8" s="796" t="s">
        <v>184</v>
      </c>
      <c r="J8" s="797"/>
      <c r="K8" s="797"/>
      <c r="L8" s="830" t="str">
        <f>Detail!K28</f>
        <v>Grant Funding - Public or Private</v>
      </c>
      <c r="M8" s="831"/>
      <c r="N8" s="318"/>
    </row>
    <row r="9" spans="2:21" ht="34.5" customHeight="1">
      <c r="B9" s="318"/>
      <c r="C9" s="796" t="s">
        <v>215</v>
      </c>
      <c r="D9" s="797"/>
      <c r="E9" s="353"/>
      <c r="F9" s="832">
        <f>Detail!T28</f>
        <v>70</v>
      </c>
      <c r="G9" s="820"/>
      <c r="H9" s="357"/>
      <c r="I9" s="796" t="s">
        <v>185</v>
      </c>
      <c r="J9" s="797"/>
      <c r="K9" s="797"/>
      <c r="L9" s="830" t="str">
        <f>Detail!L28</f>
        <v>Grant Funding - Public or Private</v>
      </c>
      <c r="M9" s="831"/>
      <c r="N9" s="318"/>
    </row>
    <row r="10" spans="2:21" ht="17.25" customHeight="1">
      <c r="B10" s="318"/>
      <c r="C10" s="796" t="s">
        <v>216</v>
      </c>
      <c r="D10" s="797"/>
      <c r="E10" s="352"/>
      <c r="F10" s="819" t="str">
        <f>Detail!V28</f>
        <v>Senior</v>
      </c>
      <c r="G10" s="820"/>
      <c r="H10" s="357"/>
      <c r="I10" s="796" t="s">
        <v>44</v>
      </c>
      <c r="J10" s="797"/>
      <c r="K10" s="797"/>
      <c r="L10" s="800">
        <f>Detail!AB28</f>
        <v>21400000</v>
      </c>
      <c r="M10" s="801"/>
      <c r="N10" s="318"/>
    </row>
    <row r="11" spans="2:21" ht="17.25" customHeight="1">
      <c r="B11" s="318"/>
      <c r="C11" s="361"/>
      <c r="D11" s="362"/>
      <c r="E11" s="352"/>
      <c r="F11" s="819" t="str">
        <f>Detail!W28</f>
        <v>Senior - Independent</v>
      </c>
      <c r="G11" s="820"/>
      <c r="H11" s="357"/>
      <c r="I11" s="796" t="s">
        <v>602</v>
      </c>
      <c r="J11" s="797"/>
      <c r="K11" s="510"/>
      <c r="L11" s="828" t="str">
        <f>Detail!AG28</f>
        <v>Enterprise/ JP Morgan</v>
      </c>
      <c r="M11" s="829"/>
      <c r="N11" s="318"/>
    </row>
    <row r="12" spans="2:21" ht="34.5" customHeight="1">
      <c r="B12" s="318"/>
      <c r="C12" s="361"/>
      <c r="D12" s="362"/>
      <c r="E12" s="352"/>
      <c r="F12" s="819" t="str">
        <f>Detail!X28</f>
        <v>Disabled - Chronically Mentally Ill</v>
      </c>
      <c r="G12" s="820"/>
      <c r="H12" s="357"/>
      <c r="I12" s="796" t="s">
        <v>603</v>
      </c>
      <c r="J12" s="797"/>
      <c r="K12" s="797"/>
      <c r="L12" s="828">
        <f>Detail!N28</f>
        <v>2009</v>
      </c>
      <c r="M12" s="829"/>
      <c r="N12" s="318"/>
    </row>
    <row r="13" spans="2:21" ht="17.25" customHeight="1">
      <c r="B13" s="318"/>
      <c r="C13" s="796" t="s">
        <v>525</v>
      </c>
      <c r="D13" s="797"/>
      <c r="E13" s="354"/>
      <c r="F13" s="827" t="str">
        <f>Detail!AM28</f>
        <v>MHMG</v>
      </c>
      <c r="G13" s="820"/>
      <c r="H13" s="357"/>
      <c r="I13" s="796" t="s">
        <v>256</v>
      </c>
      <c r="J13" s="797"/>
      <c r="K13" s="797"/>
      <c r="L13" s="800">
        <f>Detail!AC28</f>
        <v>20607000</v>
      </c>
      <c r="M13" s="801"/>
      <c r="N13" s="318"/>
    </row>
    <row r="14" spans="2:21" ht="17.25" customHeight="1">
      <c r="B14" s="318"/>
      <c r="C14" s="796" t="s">
        <v>172</v>
      </c>
      <c r="D14" s="797"/>
      <c r="E14" s="352"/>
      <c r="F14" s="819" t="str">
        <f>Detail!Z28</f>
        <v>Service Coordination</v>
      </c>
      <c r="G14" s="820"/>
      <c r="H14" s="357"/>
      <c r="I14" s="796" t="s">
        <v>257</v>
      </c>
      <c r="J14" s="797"/>
      <c r="K14" s="797"/>
      <c r="L14" s="800">
        <f>Detail!AF28</f>
        <v>19164510</v>
      </c>
      <c r="M14" s="801"/>
      <c r="N14" s="318"/>
    </row>
    <row r="15" spans="2:21" ht="17.25" customHeight="1" thickBot="1">
      <c r="B15" s="318"/>
      <c r="C15" s="796" t="s">
        <v>217</v>
      </c>
      <c r="D15" s="797"/>
      <c r="E15" s="355"/>
      <c r="F15" s="819" t="str">
        <f>Detail!AA28</f>
        <v>TBD</v>
      </c>
      <c r="G15" s="820"/>
      <c r="H15" s="357"/>
      <c r="I15" s="821" t="s">
        <v>255</v>
      </c>
      <c r="J15" s="822"/>
      <c r="K15" s="822"/>
      <c r="L15" s="823">
        <f>Detail!AD28</f>
        <v>2060700</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Detail!AH28</f>
        <v>2030316</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Detail!AJ28</f>
        <v>1522737</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Detail!AI28</f>
        <v>507579</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6" thickTop="1">
      <c r="B21" s="320"/>
      <c r="C21" s="804" t="s">
        <v>46</v>
      </c>
      <c r="D21" s="805"/>
      <c r="E21" s="349"/>
      <c r="F21" s="806" t="str">
        <f>Detail!F28</f>
        <v>Construction</v>
      </c>
      <c r="G21" s="807"/>
      <c r="H21" s="359"/>
      <c r="I21" s="804" t="s">
        <v>226</v>
      </c>
      <c r="J21" s="805"/>
      <c r="K21" s="805"/>
      <c r="L21" s="808">
        <f>Detail!Q28</f>
        <v>0.4</v>
      </c>
      <c r="M21" s="809"/>
      <c r="N21" s="320"/>
    </row>
    <row r="22" spans="2:21" s="88" customFormat="1" ht="17.25" customHeight="1">
      <c r="B22" s="320"/>
      <c r="C22" s="796" t="s">
        <v>223</v>
      </c>
      <c r="D22" s="797"/>
      <c r="E22" s="348"/>
      <c r="F22" s="798">
        <f>Detail!P28</f>
        <v>40849</v>
      </c>
      <c r="G22" s="799"/>
      <c r="H22" s="359"/>
      <c r="I22" s="796" t="s">
        <v>227</v>
      </c>
      <c r="J22" s="797"/>
      <c r="K22" s="797"/>
      <c r="L22" s="800">
        <f>Detail!AO28+Detail!AP28+Detail!AQ28+Detail!AR28</f>
        <v>445719</v>
      </c>
      <c r="M22" s="801"/>
      <c r="N22" s="320"/>
    </row>
    <row r="23" spans="2:21" s="88" customFormat="1" ht="17.25" customHeight="1">
      <c r="B23" s="320"/>
      <c r="C23" s="796" t="s">
        <v>224</v>
      </c>
      <c r="D23" s="797"/>
      <c r="E23" s="348"/>
      <c r="F23" s="798">
        <f>Detail!R28</f>
        <v>40848</v>
      </c>
      <c r="G23" s="799"/>
      <c r="H23" s="359"/>
      <c r="I23" s="796" t="s">
        <v>228</v>
      </c>
      <c r="J23" s="797"/>
      <c r="K23" s="797"/>
      <c r="L23" s="800">
        <f>Detail!BG28</f>
        <v>59948.799999999988</v>
      </c>
      <c r="M23" s="801"/>
      <c r="N23" s="320"/>
    </row>
    <row r="24" spans="2:21" s="88" customFormat="1" ht="17.25" customHeight="1" thickBot="1">
      <c r="B24" s="320"/>
      <c r="C24" s="778" t="s">
        <v>225</v>
      </c>
      <c r="D24" s="779"/>
      <c r="E24" s="511"/>
      <c r="F24" s="780">
        <f>Detail!S28</f>
        <v>41214</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15" customHeight="1">
      <c r="B27" s="320"/>
      <c r="C27" s="840" t="s">
        <v>749</v>
      </c>
      <c r="D27" s="840"/>
      <c r="E27" s="840"/>
      <c r="F27" s="840"/>
      <c r="G27" s="840"/>
      <c r="H27" s="840"/>
      <c r="I27" s="840"/>
      <c r="J27" s="840"/>
      <c r="K27" s="840"/>
      <c r="L27" s="840"/>
      <c r="M27" s="841"/>
      <c r="N27" s="320"/>
      <c r="P27" s="590"/>
    </row>
    <row r="28" spans="2:21" s="88" customFormat="1" ht="15" customHeight="1">
      <c r="B28" s="320"/>
      <c r="C28" s="840"/>
      <c r="D28" s="840"/>
      <c r="E28" s="840"/>
      <c r="F28" s="840"/>
      <c r="G28" s="840"/>
      <c r="H28" s="840"/>
      <c r="I28" s="840"/>
      <c r="J28" s="840"/>
      <c r="K28" s="840"/>
      <c r="L28" s="840"/>
      <c r="M28" s="841"/>
      <c r="N28" s="320"/>
      <c r="P28" s="590"/>
    </row>
    <row r="29" spans="2:21" s="88" customFormat="1" ht="15" customHeight="1">
      <c r="B29" s="320"/>
      <c r="C29" s="840"/>
      <c r="D29" s="840"/>
      <c r="E29" s="840"/>
      <c r="F29" s="840"/>
      <c r="G29" s="840"/>
      <c r="H29" s="840"/>
      <c r="I29" s="840"/>
      <c r="J29" s="840"/>
      <c r="K29" s="840"/>
      <c r="L29" s="840"/>
      <c r="M29" s="841"/>
      <c r="N29" s="320"/>
      <c r="P29" s="590"/>
    </row>
    <row r="30" spans="2:21" s="88" customFormat="1" ht="15" customHeight="1">
      <c r="B30" s="320"/>
      <c r="C30" s="840"/>
      <c r="D30" s="840"/>
      <c r="E30" s="840"/>
      <c r="F30" s="840"/>
      <c r="G30" s="840"/>
      <c r="H30" s="840"/>
      <c r="I30" s="840"/>
      <c r="J30" s="840"/>
      <c r="K30" s="840"/>
      <c r="L30" s="840"/>
      <c r="M30" s="841"/>
      <c r="N30" s="320"/>
      <c r="P30" s="590"/>
    </row>
    <row r="31" spans="2:21" s="88" customFormat="1" ht="15" customHeight="1">
      <c r="B31" s="320"/>
      <c r="C31" s="840"/>
      <c r="D31" s="840"/>
      <c r="E31" s="840"/>
      <c r="F31" s="840"/>
      <c r="G31" s="840"/>
      <c r="H31" s="840"/>
      <c r="I31" s="840"/>
      <c r="J31" s="840"/>
      <c r="K31" s="840"/>
      <c r="L31" s="840"/>
      <c r="M31" s="841"/>
      <c r="N31" s="320"/>
    </row>
    <row r="32" spans="2:21" s="88" customFormat="1" ht="15" customHeight="1">
      <c r="B32" s="320"/>
      <c r="C32" s="840"/>
      <c r="D32" s="840"/>
      <c r="E32" s="840"/>
      <c r="F32" s="840"/>
      <c r="G32" s="840"/>
      <c r="H32" s="840"/>
      <c r="I32" s="840"/>
      <c r="J32" s="840"/>
      <c r="K32" s="840"/>
      <c r="L32" s="840"/>
      <c r="M32" s="841"/>
      <c r="N32" s="320"/>
    </row>
    <row r="33" spans="2:19" s="88" customFormat="1" ht="15" customHeight="1">
      <c r="B33" s="320"/>
      <c r="C33" s="840"/>
      <c r="D33" s="840"/>
      <c r="E33" s="840"/>
      <c r="F33" s="840"/>
      <c r="G33" s="840"/>
      <c r="H33" s="840"/>
      <c r="I33" s="840"/>
      <c r="J33" s="840"/>
      <c r="K33" s="840"/>
      <c r="L33" s="840"/>
      <c r="M33" s="841"/>
      <c r="N33" s="320"/>
    </row>
    <row r="34" spans="2:19" s="88" customFormat="1" ht="15" customHeight="1">
      <c r="B34" s="320"/>
      <c r="C34" s="840"/>
      <c r="D34" s="840"/>
      <c r="E34" s="840"/>
      <c r="F34" s="840"/>
      <c r="G34" s="840"/>
      <c r="H34" s="840"/>
      <c r="I34" s="840"/>
      <c r="J34" s="840"/>
      <c r="K34" s="840"/>
      <c r="L34" s="840"/>
      <c r="M34" s="841"/>
      <c r="N34" s="320"/>
    </row>
    <row r="35" spans="2:19" s="88" customFormat="1" ht="15" customHeight="1">
      <c r="B35" s="320"/>
      <c r="C35" s="840"/>
      <c r="D35" s="840"/>
      <c r="E35" s="840"/>
      <c r="F35" s="840"/>
      <c r="G35" s="840"/>
      <c r="H35" s="840"/>
      <c r="I35" s="840"/>
      <c r="J35" s="840"/>
      <c r="K35" s="840"/>
      <c r="L35" s="840"/>
      <c r="M35" s="841"/>
      <c r="N35" s="320"/>
    </row>
    <row r="36" spans="2:19" s="88" customFormat="1" ht="15" customHeight="1">
      <c r="B36" s="320"/>
      <c r="C36" s="840"/>
      <c r="D36" s="840"/>
      <c r="E36" s="840"/>
      <c r="F36" s="840"/>
      <c r="G36" s="840"/>
      <c r="H36" s="840"/>
      <c r="I36" s="840"/>
      <c r="J36" s="840"/>
      <c r="K36" s="840"/>
      <c r="L36" s="840"/>
      <c r="M36" s="841"/>
      <c r="N36" s="320"/>
    </row>
    <row r="37" spans="2:19" s="88" customFormat="1" ht="15" customHeight="1">
      <c r="B37" s="320"/>
      <c r="C37" s="840"/>
      <c r="D37" s="840"/>
      <c r="E37" s="840"/>
      <c r="F37" s="840"/>
      <c r="G37" s="840"/>
      <c r="H37" s="840"/>
      <c r="I37" s="840"/>
      <c r="J37" s="840"/>
      <c r="K37" s="840"/>
      <c r="L37" s="840"/>
      <c r="M37" s="841"/>
      <c r="N37" s="320"/>
    </row>
    <row r="38" spans="2:19" s="88" customFormat="1" ht="15" customHeight="1">
      <c r="B38" s="320"/>
      <c r="C38" s="840"/>
      <c r="D38" s="840"/>
      <c r="E38" s="840"/>
      <c r="F38" s="840"/>
      <c r="G38" s="840"/>
      <c r="H38" s="840"/>
      <c r="I38" s="840"/>
      <c r="J38" s="840"/>
      <c r="K38" s="840"/>
      <c r="L38" s="840"/>
      <c r="M38" s="841"/>
      <c r="N38" s="320"/>
    </row>
    <row r="39" spans="2:19" s="88" customFormat="1" ht="15" customHeight="1">
      <c r="B39" s="320"/>
      <c r="C39" s="840"/>
      <c r="D39" s="840"/>
      <c r="E39" s="840"/>
      <c r="F39" s="840"/>
      <c r="G39" s="840"/>
      <c r="H39" s="840"/>
      <c r="I39" s="840"/>
      <c r="J39" s="840"/>
      <c r="K39" s="840"/>
      <c r="L39" s="840"/>
      <c r="M39" s="841"/>
      <c r="N39" s="320"/>
    </row>
    <row r="40" spans="2:19" s="88" customFormat="1" ht="15" customHeight="1">
      <c r="B40" s="320"/>
      <c r="C40" s="840"/>
      <c r="D40" s="840"/>
      <c r="E40" s="840"/>
      <c r="F40" s="840"/>
      <c r="G40" s="840"/>
      <c r="H40" s="840"/>
      <c r="I40" s="840"/>
      <c r="J40" s="840"/>
      <c r="K40" s="840"/>
      <c r="L40" s="840"/>
      <c r="M40" s="841"/>
      <c r="N40" s="320"/>
    </row>
    <row r="41" spans="2:19" s="88" customFormat="1" ht="15" customHeight="1" thickBot="1">
      <c r="B41" s="320"/>
      <c r="C41" s="842"/>
      <c r="D41" s="842"/>
      <c r="E41" s="842"/>
      <c r="F41" s="842"/>
      <c r="G41" s="842"/>
      <c r="H41" s="842"/>
      <c r="I41" s="842"/>
      <c r="J41" s="842"/>
      <c r="K41" s="842"/>
      <c r="L41" s="842"/>
      <c r="M41" s="843"/>
      <c r="N41" s="320"/>
    </row>
    <row r="42" spans="2:19" s="88" customFormat="1" ht="15.75" customHeight="1" thickTop="1" thickBot="1">
      <c r="B42" s="320"/>
      <c r="C42" s="529"/>
      <c r="D42" s="320"/>
      <c r="E42" s="320"/>
      <c r="F42" s="320"/>
      <c r="G42" s="320"/>
      <c r="H42" s="320"/>
      <c r="I42" s="320"/>
      <c r="J42" s="320"/>
      <c r="K42" s="320"/>
      <c r="L42" s="320"/>
      <c r="M42" s="320"/>
      <c r="N42" s="320"/>
    </row>
    <row r="43" spans="2:19" s="88" customFormat="1" ht="20.25" customHeight="1" thickTop="1" thickBot="1">
      <c r="B43" s="320"/>
      <c r="C43" s="523" t="s">
        <v>520</v>
      </c>
      <c r="D43" s="508"/>
      <c r="E43" s="508"/>
      <c r="F43" s="508"/>
      <c r="G43" s="528" t="str">
        <f>C2</f>
        <v>Grayslake Senior</v>
      </c>
      <c r="H43" s="508"/>
      <c r="I43" s="508"/>
      <c r="J43" s="508"/>
      <c r="K43" s="508"/>
      <c r="L43" s="508"/>
      <c r="M43" s="509"/>
      <c r="N43" s="320"/>
      <c r="P43" s="317"/>
    </row>
    <row r="44" spans="2:19" s="67" customFormat="1" ht="44.25" customHeight="1" thickTop="1" thickBot="1">
      <c r="B44" s="321"/>
      <c r="C44" s="326" t="s">
        <v>515</v>
      </c>
      <c r="D44" s="328"/>
      <c r="E44" s="328"/>
      <c r="F44" s="327" t="s">
        <v>531</v>
      </c>
      <c r="G44" s="327" t="s">
        <v>543</v>
      </c>
      <c r="H44" s="790" t="s">
        <v>533</v>
      </c>
      <c r="I44" s="790"/>
      <c r="J44" s="790"/>
      <c r="K44" s="790"/>
      <c r="L44" s="790"/>
      <c r="M44" s="791"/>
      <c r="N44" s="321"/>
    </row>
    <row r="45" spans="2:19" s="300" customFormat="1">
      <c r="B45" s="322"/>
      <c r="C45" s="792" t="s">
        <v>514</v>
      </c>
      <c r="D45" s="793"/>
      <c r="E45" s="344"/>
      <c r="F45" s="368" t="str">
        <f>I99</f>
        <v>Done</v>
      </c>
      <c r="G45" s="368" t="str">
        <f>J99</f>
        <v>Done</v>
      </c>
      <c r="H45" s="794"/>
      <c r="I45" s="794"/>
      <c r="J45" s="794"/>
      <c r="K45" s="794"/>
      <c r="L45" s="794"/>
      <c r="M45" s="795"/>
      <c r="N45" s="322"/>
    </row>
    <row r="46" spans="2:19" s="300" customFormat="1" ht="12.75" customHeight="1">
      <c r="B46" s="322"/>
      <c r="C46" s="774" t="s">
        <v>516</v>
      </c>
      <c r="D46" s="775"/>
      <c r="E46" s="506"/>
      <c r="F46" s="368" t="str">
        <f>I101</f>
        <v>Done</v>
      </c>
      <c r="G46" s="369" t="str">
        <f>J101</f>
        <v>Done</v>
      </c>
      <c r="H46" s="772"/>
      <c r="I46" s="772"/>
      <c r="J46" s="772"/>
      <c r="K46" s="772"/>
      <c r="L46" s="772"/>
      <c r="M46" s="773"/>
      <c r="N46" s="322"/>
    </row>
    <row r="47" spans="2:19" s="300" customFormat="1">
      <c r="B47" s="322"/>
      <c r="C47" s="774" t="s">
        <v>344</v>
      </c>
      <c r="D47" s="775"/>
      <c r="E47" s="506"/>
      <c r="F47" s="368" t="str">
        <f>I103</f>
        <v>Done</v>
      </c>
      <c r="G47" s="368" t="str">
        <f>J103</f>
        <v>Done</v>
      </c>
      <c r="H47" s="772"/>
      <c r="I47" s="772"/>
      <c r="J47" s="772"/>
      <c r="K47" s="772"/>
      <c r="L47" s="772"/>
      <c r="M47" s="773"/>
      <c r="N47" s="322"/>
    </row>
    <row r="48" spans="2:19" s="300" customFormat="1" ht="12.75" customHeight="1">
      <c r="B48" s="322"/>
      <c r="C48" s="774" t="s">
        <v>535</v>
      </c>
      <c r="D48" s="775"/>
      <c r="E48" s="506"/>
      <c r="F48" s="368" t="str">
        <f>Grayslake!I109</f>
        <v>Done</v>
      </c>
      <c r="G48" s="368" t="str">
        <f>J109</f>
        <v>Done</v>
      </c>
      <c r="H48" s="772"/>
      <c r="I48" s="772"/>
      <c r="J48" s="772"/>
      <c r="K48" s="772"/>
      <c r="L48" s="772"/>
      <c r="M48" s="773"/>
      <c r="N48" s="322"/>
      <c r="P48" s="358"/>
      <c r="Q48" s="358"/>
      <c r="R48" s="358"/>
      <c r="S48" s="358"/>
    </row>
    <row r="49" spans="2:19" s="300" customFormat="1">
      <c r="B49" s="322"/>
      <c r="C49" s="774" t="s">
        <v>536</v>
      </c>
      <c r="D49" s="775"/>
      <c r="E49" s="506"/>
      <c r="F49" s="368" t="str">
        <f>I117</f>
        <v>TBD</v>
      </c>
      <c r="G49" s="368" t="str">
        <f>J117</f>
        <v>TBD</v>
      </c>
      <c r="H49" s="772"/>
      <c r="I49" s="772"/>
      <c r="J49" s="772"/>
      <c r="K49" s="772"/>
      <c r="L49" s="772"/>
      <c r="M49" s="773"/>
      <c r="N49" s="322"/>
      <c r="P49" s="358"/>
      <c r="Q49" s="358"/>
      <c r="R49" s="358"/>
      <c r="S49" s="358"/>
    </row>
    <row r="50" spans="2:19" s="300" customFormat="1" ht="14">
      <c r="B50" s="322"/>
      <c r="C50" s="774" t="s">
        <v>517</v>
      </c>
      <c r="D50" s="775"/>
      <c r="E50" s="506"/>
      <c r="F50" s="368">
        <f>I138</f>
        <v>40848</v>
      </c>
      <c r="G50" s="368">
        <f>J138</f>
        <v>40848</v>
      </c>
      <c r="H50" s="772"/>
      <c r="I50" s="772"/>
      <c r="J50" s="772"/>
      <c r="K50" s="772"/>
      <c r="L50" s="772"/>
      <c r="M50" s="773"/>
      <c r="N50" s="322"/>
      <c r="P50" s="358"/>
      <c r="Q50" s="358"/>
      <c r="R50" s="358"/>
      <c r="S50" s="358"/>
    </row>
    <row r="51" spans="2:19" s="300" customFormat="1">
      <c r="B51" s="322"/>
      <c r="C51" s="774" t="s">
        <v>537</v>
      </c>
      <c r="D51" s="775"/>
      <c r="E51" s="506"/>
      <c r="F51" s="368" t="str">
        <f>I203</f>
        <v>Done</v>
      </c>
      <c r="G51" s="368" t="str">
        <f>J203</f>
        <v>Done</v>
      </c>
      <c r="H51" s="772"/>
      <c r="I51" s="772"/>
      <c r="J51" s="772"/>
      <c r="K51" s="772"/>
      <c r="L51" s="772"/>
      <c r="M51" s="773"/>
      <c r="N51" s="322"/>
      <c r="P51" s="358"/>
      <c r="Q51" s="358"/>
      <c r="R51" s="358"/>
      <c r="S51" s="358"/>
    </row>
    <row r="52" spans="2:19" s="300" customFormat="1">
      <c r="B52" s="322"/>
      <c r="C52" s="774" t="s">
        <v>519</v>
      </c>
      <c r="D52" s="775"/>
      <c r="E52" s="506"/>
      <c r="F52" s="368" t="str">
        <f>I207</f>
        <v>Done</v>
      </c>
      <c r="G52" s="368" t="str">
        <f>J207</f>
        <v>Done</v>
      </c>
      <c r="H52" s="772"/>
      <c r="I52" s="772"/>
      <c r="J52" s="772"/>
      <c r="K52" s="772"/>
      <c r="L52" s="772"/>
      <c r="M52" s="773"/>
      <c r="N52" s="322"/>
    </row>
    <row r="53" spans="2:19" s="300" customFormat="1">
      <c r="B53" s="322"/>
      <c r="C53" s="774" t="s">
        <v>538</v>
      </c>
      <c r="D53" s="775"/>
      <c r="E53" s="506"/>
      <c r="F53" s="368" t="str">
        <f>I239</f>
        <v>Done</v>
      </c>
      <c r="G53" s="368" t="str">
        <f>J239</f>
        <v>Done</v>
      </c>
      <c r="H53" s="772"/>
      <c r="I53" s="772"/>
      <c r="J53" s="772"/>
      <c r="K53" s="772"/>
      <c r="L53" s="772"/>
      <c r="M53" s="773"/>
      <c r="N53" s="322"/>
    </row>
    <row r="54" spans="2:19" s="300" customFormat="1" ht="14">
      <c r="B54" s="322"/>
      <c r="C54" s="774" t="s">
        <v>55</v>
      </c>
      <c r="D54" s="775"/>
      <c r="E54" s="506"/>
      <c r="F54" s="368">
        <f>I232</f>
        <v>40831</v>
      </c>
      <c r="G54" s="368">
        <f>J232</f>
        <v>40847</v>
      </c>
      <c r="H54" s="772"/>
      <c r="I54" s="772"/>
      <c r="J54" s="772"/>
      <c r="K54" s="772"/>
      <c r="L54" s="772"/>
      <c r="M54" s="773"/>
      <c r="N54" s="322"/>
    </row>
    <row r="55" spans="2:19" s="300" customFormat="1" ht="14">
      <c r="B55" s="322"/>
      <c r="C55" s="774" t="s">
        <v>346</v>
      </c>
      <c r="D55" s="775"/>
      <c r="E55" s="506"/>
      <c r="F55" s="368">
        <f>I242</f>
        <v>40831</v>
      </c>
      <c r="G55" s="368">
        <f>J242</f>
        <v>40850</v>
      </c>
      <c r="H55" s="772"/>
      <c r="I55" s="772"/>
      <c r="J55" s="772"/>
      <c r="K55" s="772"/>
      <c r="L55" s="772"/>
      <c r="M55" s="773"/>
      <c r="N55" s="322"/>
    </row>
    <row r="56" spans="2:19" s="300" customFormat="1">
      <c r="B56" s="322"/>
      <c r="C56" s="774" t="s">
        <v>347</v>
      </c>
      <c r="D56" s="775"/>
      <c r="E56" s="506"/>
      <c r="F56" s="368" t="str">
        <f>I244</f>
        <v>Done</v>
      </c>
      <c r="G56" s="368" t="str">
        <f>J244</f>
        <v>TBD</v>
      </c>
      <c r="H56" s="772"/>
      <c r="I56" s="772"/>
      <c r="J56" s="772"/>
      <c r="K56" s="772"/>
      <c r="L56" s="772"/>
      <c r="M56" s="773"/>
      <c r="N56" s="322"/>
    </row>
    <row r="57" spans="2:19" s="300" customFormat="1">
      <c r="B57" s="322"/>
      <c r="C57" s="774" t="s">
        <v>348</v>
      </c>
      <c r="D57" s="775"/>
      <c r="E57" s="506"/>
      <c r="F57" s="368">
        <f>I261</f>
        <v>41214</v>
      </c>
      <c r="G57" s="368" t="str">
        <f>J261</f>
        <v>TBD</v>
      </c>
      <c r="H57" s="772"/>
      <c r="I57" s="772"/>
      <c r="J57" s="772"/>
      <c r="K57" s="772"/>
      <c r="L57" s="772"/>
      <c r="M57" s="773"/>
      <c r="N57" s="322"/>
    </row>
    <row r="58" spans="2:19" s="300" customFormat="1">
      <c r="B58" s="322"/>
      <c r="C58" s="774" t="s">
        <v>65</v>
      </c>
      <c r="D58" s="775"/>
      <c r="E58" s="506"/>
      <c r="F58" s="368">
        <f>I262</f>
        <v>41394</v>
      </c>
      <c r="G58" s="368" t="str">
        <f>J262</f>
        <v>TBD</v>
      </c>
      <c r="H58" s="772"/>
      <c r="I58" s="772"/>
      <c r="J58" s="772"/>
      <c r="K58" s="772"/>
      <c r="L58" s="772"/>
      <c r="M58" s="773"/>
      <c r="N58" s="322"/>
    </row>
    <row r="59" spans="2:19" s="300" customFormat="1">
      <c r="B59" s="322"/>
      <c r="C59" s="774" t="s">
        <v>540</v>
      </c>
      <c r="D59" s="775"/>
      <c r="E59" s="506"/>
      <c r="F59" s="368">
        <f>I280</f>
        <v>41306</v>
      </c>
      <c r="G59" s="368" t="str">
        <f>J280</f>
        <v>TBD</v>
      </c>
      <c r="H59" s="772"/>
      <c r="I59" s="772"/>
      <c r="J59" s="772"/>
      <c r="K59" s="772"/>
      <c r="L59" s="772"/>
      <c r="M59" s="773"/>
      <c r="N59" s="322"/>
    </row>
    <row r="60" spans="2:19" s="300" customFormat="1">
      <c r="B60" s="322"/>
      <c r="C60" s="774" t="s">
        <v>542</v>
      </c>
      <c r="D60" s="775"/>
      <c r="E60" s="506"/>
      <c r="F60" s="368">
        <f>I283</f>
        <v>41197</v>
      </c>
      <c r="G60" s="368" t="str">
        <f>J283</f>
        <v>TBD</v>
      </c>
      <c r="H60" s="772"/>
      <c r="I60" s="772"/>
      <c r="J60" s="772"/>
      <c r="K60" s="772"/>
      <c r="L60" s="772"/>
      <c r="M60" s="773"/>
      <c r="N60" s="322"/>
    </row>
    <row r="61" spans="2:19" s="300" customFormat="1">
      <c r="B61" s="322"/>
      <c r="C61" s="774">
        <v>8609</v>
      </c>
      <c r="D61" s="775"/>
      <c r="E61" s="506"/>
      <c r="F61" s="368">
        <f>I296</f>
        <v>41394</v>
      </c>
      <c r="G61" s="368" t="str">
        <f>J296</f>
        <v>TBD</v>
      </c>
      <c r="H61" s="772"/>
      <c r="I61" s="772"/>
      <c r="J61" s="772"/>
      <c r="K61" s="772"/>
      <c r="L61" s="772"/>
      <c r="M61" s="773"/>
      <c r="N61" s="322"/>
    </row>
    <row r="62" spans="2:19" s="300" customFormat="1" ht="15" customHeight="1">
      <c r="B62" s="322"/>
      <c r="C62" s="774" t="s">
        <v>349</v>
      </c>
      <c r="D62" s="775"/>
      <c r="E62" s="344"/>
      <c r="F62" s="370">
        <f>I297</f>
        <v>41394</v>
      </c>
      <c r="G62" s="371" t="str">
        <f>J297</f>
        <v>TBD</v>
      </c>
      <c r="H62" s="772"/>
      <c r="I62" s="772"/>
      <c r="J62" s="772"/>
      <c r="K62" s="772"/>
      <c r="L62" s="772"/>
      <c r="M62" s="773"/>
      <c r="N62" s="322"/>
    </row>
    <row r="63" spans="2:19" s="300" customFormat="1" ht="14">
      <c r="B63" s="322"/>
      <c r="C63" s="776" t="s">
        <v>669</v>
      </c>
      <c r="D63" s="777"/>
      <c r="E63" s="589" t="s">
        <v>670</v>
      </c>
      <c r="F63" s="338"/>
      <c r="G63" s="338"/>
      <c r="H63" s="772"/>
      <c r="I63" s="772"/>
      <c r="J63" s="772"/>
      <c r="K63" s="772"/>
      <c r="L63" s="772"/>
      <c r="M63" s="773"/>
      <c r="N63" s="322"/>
    </row>
    <row r="64" spans="2:19" s="300" customFormat="1" ht="14">
      <c r="B64" s="322"/>
      <c r="C64" s="770" t="s">
        <v>522</v>
      </c>
      <c r="D64" s="771"/>
      <c r="E64" s="507"/>
      <c r="F64" s="338"/>
      <c r="G64" s="338"/>
      <c r="H64" s="772"/>
      <c r="I64" s="772"/>
      <c r="J64" s="772"/>
      <c r="K64" s="772"/>
      <c r="L64" s="772"/>
      <c r="M64" s="773"/>
      <c r="N64" s="322"/>
    </row>
    <row r="65" spans="2:15" s="300" customFormat="1" ht="14">
      <c r="B65" s="322"/>
      <c r="C65" s="770" t="s">
        <v>522</v>
      </c>
      <c r="D65" s="771"/>
      <c r="E65" s="524"/>
      <c r="F65" s="525"/>
      <c r="G65" s="525"/>
      <c r="H65" s="772"/>
      <c r="I65" s="772"/>
      <c r="J65" s="772"/>
      <c r="K65" s="772"/>
      <c r="L65" s="772"/>
      <c r="M65" s="773"/>
      <c r="N65" s="322"/>
    </row>
    <row r="66" spans="2:15">
      <c r="B66" s="318"/>
      <c r="C66" s="318"/>
      <c r="D66" s="318"/>
      <c r="E66" s="318"/>
      <c r="F66" s="318"/>
      <c r="G66" s="318"/>
      <c r="H66" s="318"/>
      <c r="I66" s="318"/>
      <c r="J66" s="318"/>
      <c r="K66" s="318"/>
      <c r="L66" s="318"/>
      <c r="M66" s="318"/>
      <c r="N66" s="318"/>
    </row>
    <row r="67" spans="2:15" ht="16" thickBot="1"/>
    <row r="68" spans="2:15" ht="20" thickBot="1">
      <c r="C68" s="345" t="s">
        <v>521</v>
      </c>
      <c r="D68" s="345"/>
      <c r="E68" s="345"/>
      <c r="F68" s="323"/>
      <c r="G68" s="323"/>
      <c r="H68" s="323"/>
      <c r="I68" s="323"/>
      <c r="J68" s="324"/>
      <c r="K68" s="8"/>
      <c r="L68" s="8"/>
      <c r="M68" s="8"/>
    </row>
    <row r="69" spans="2:15" ht="16" thickBot="1">
      <c r="J69" s="8"/>
    </row>
    <row r="70" spans="2:15" ht="16" thickBot="1">
      <c r="C70" s="308" t="s">
        <v>350</v>
      </c>
      <c r="D70" s="308"/>
      <c r="E70" s="308"/>
      <c r="F70" s="308"/>
      <c r="H70" s="363"/>
      <c r="I70" s="768" t="str">
        <f>C2</f>
        <v>Grayslake Senior</v>
      </c>
      <c r="J70" s="769"/>
      <c r="K70" s="17"/>
      <c r="L70" s="17"/>
      <c r="M70" s="8"/>
      <c r="N70" s="17"/>
    </row>
    <row r="71" spans="2:15" ht="16" thickBot="1">
      <c r="C71" s="308" t="s">
        <v>351</v>
      </c>
      <c r="D71" s="308"/>
      <c r="E71" s="308"/>
      <c r="F71" s="308"/>
      <c r="H71" s="363"/>
      <c r="I71" s="768" t="str">
        <f>F7</f>
        <v>Grayslake</v>
      </c>
      <c r="J71" s="769"/>
      <c r="K71" s="17"/>
      <c r="L71" s="17"/>
      <c r="M71" s="8"/>
      <c r="N71" s="17"/>
    </row>
    <row r="72" spans="2:15" ht="16" thickBot="1">
      <c r="C72" s="308" t="s">
        <v>352</v>
      </c>
      <c r="D72" s="308"/>
      <c r="E72" s="308"/>
      <c r="F72" s="308"/>
      <c r="H72" s="363"/>
      <c r="I72" s="768">
        <f>C3</f>
        <v>0</v>
      </c>
      <c r="J72" s="769"/>
      <c r="K72" s="17"/>
      <c r="L72" s="17"/>
      <c r="M72" s="8"/>
      <c r="N72" s="17"/>
    </row>
    <row r="73" spans="2:15">
      <c r="C73" s="2"/>
      <c r="D73" s="2"/>
      <c r="E73" s="2"/>
      <c r="F73" s="2"/>
      <c r="G73" s="2"/>
      <c r="H73" s="2"/>
      <c r="I73" s="2"/>
      <c r="J73" s="2"/>
      <c r="K73" s="2"/>
      <c r="L73" s="2"/>
      <c r="M73" s="301"/>
      <c r="N73" s="2"/>
      <c r="O73" s="301"/>
    </row>
    <row r="74" spans="2:15" ht="48">
      <c r="C74" s="302" t="s">
        <v>353</v>
      </c>
      <c r="D74" s="346"/>
      <c r="E74" s="346"/>
      <c r="F74" s="303"/>
      <c r="G74" s="347"/>
      <c r="H74" s="347"/>
      <c r="I74" s="304" t="s">
        <v>532</v>
      </c>
      <c r="J74" s="304" t="s">
        <v>527</v>
      </c>
    </row>
    <row r="75" spans="2:15">
      <c r="C75" s="2"/>
      <c r="D75" s="2"/>
      <c r="E75" s="2"/>
      <c r="F75" s="2"/>
      <c r="G75" s="2"/>
      <c r="H75" s="2"/>
      <c r="I75" s="2"/>
      <c r="J75" s="2"/>
      <c r="K75" s="305"/>
      <c r="L75" s="306"/>
      <c r="M75" s="306"/>
      <c r="N75" s="307"/>
      <c r="O75" s="301"/>
    </row>
    <row r="76" spans="2:15">
      <c r="B76" s="308" t="s">
        <v>354</v>
      </c>
      <c r="C76" s="308"/>
      <c r="D76" s="308"/>
      <c r="E76" s="308"/>
      <c r="F76" s="308"/>
      <c r="G76" s="308"/>
      <c r="H76" s="308"/>
      <c r="I76" s="2"/>
      <c r="J76" s="2"/>
      <c r="K76" s="301"/>
      <c r="N76" s="301"/>
    </row>
    <row r="77" spans="2:15">
      <c r="C77" s="2" t="s">
        <v>355</v>
      </c>
      <c r="D77" s="2"/>
      <c r="E77" s="2"/>
      <c r="F77" s="2"/>
      <c r="G77" s="2"/>
      <c r="H77" s="2"/>
      <c r="I77" s="332" t="s">
        <v>610</v>
      </c>
      <c r="J77" s="332" t="s">
        <v>610</v>
      </c>
    </row>
    <row r="78" spans="2:15">
      <c r="C78" s="2" t="s">
        <v>356</v>
      </c>
      <c r="D78" s="2"/>
      <c r="E78" s="2"/>
      <c r="F78" s="2"/>
      <c r="G78" s="2"/>
      <c r="H78" s="2"/>
      <c r="I78" s="332" t="s">
        <v>610</v>
      </c>
      <c r="J78" s="332" t="s">
        <v>610</v>
      </c>
    </row>
    <row r="79" spans="2:15">
      <c r="C79" s="2" t="s">
        <v>357</v>
      </c>
      <c r="D79" s="2"/>
      <c r="E79" s="2"/>
      <c r="F79" s="2"/>
      <c r="G79" s="2"/>
      <c r="H79" s="2"/>
      <c r="I79" s="332" t="s">
        <v>610</v>
      </c>
      <c r="J79" s="332" t="s">
        <v>610</v>
      </c>
    </row>
    <row r="80" spans="2:15">
      <c r="C80" s="2" t="s">
        <v>358</v>
      </c>
      <c r="D80" s="2"/>
      <c r="E80" s="2"/>
      <c r="F80" s="2"/>
      <c r="G80" s="2"/>
      <c r="H80" s="2"/>
      <c r="I80" s="332" t="s">
        <v>610</v>
      </c>
      <c r="J80" s="332" t="s">
        <v>610</v>
      </c>
    </row>
    <row r="81" spans="3:10">
      <c r="C81" s="312" t="s">
        <v>359</v>
      </c>
      <c r="D81" s="312"/>
      <c r="E81" s="312"/>
      <c r="F81" s="312"/>
      <c r="G81" s="312"/>
      <c r="H81" s="312"/>
      <c r="I81" s="332" t="s">
        <v>610</v>
      </c>
      <c r="J81" s="332" t="s">
        <v>610</v>
      </c>
    </row>
    <row r="82" spans="3:10">
      <c r="C82" s="2" t="s">
        <v>360</v>
      </c>
      <c r="D82" s="2"/>
      <c r="E82" s="2"/>
      <c r="F82" s="312"/>
      <c r="G82" s="312"/>
      <c r="H82" s="312"/>
      <c r="I82" s="332" t="s">
        <v>610</v>
      </c>
      <c r="J82" s="332" t="s">
        <v>610</v>
      </c>
    </row>
    <row r="83" spans="3:10">
      <c r="C83" s="2" t="s">
        <v>361</v>
      </c>
      <c r="D83" s="2"/>
      <c r="E83" s="2"/>
      <c r="F83" s="312"/>
      <c r="G83" s="312"/>
      <c r="H83" s="312"/>
      <c r="I83" s="332" t="s">
        <v>610</v>
      </c>
      <c r="J83" s="332" t="s">
        <v>610</v>
      </c>
    </row>
    <row r="84" spans="3:10">
      <c r="C84" s="2" t="s">
        <v>362</v>
      </c>
      <c r="D84" s="2"/>
      <c r="E84" s="2"/>
      <c r="F84" s="312"/>
      <c r="G84" s="312"/>
      <c r="H84" s="312"/>
      <c r="I84" s="534"/>
      <c r="J84" s="534"/>
    </row>
    <row r="85" spans="3:10">
      <c r="C85" s="312" t="s">
        <v>363</v>
      </c>
      <c r="D85" s="312"/>
      <c r="E85" s="312"/>
      <c r="F85" s="312"/>
      <c r="G85" s="312"/>
      <c r="H85" s="312"/>
      <c r="I85" s="332" t="s">
        <v>610</v>
      </c>
      <c r="J85" s="332" t="s">
        <v>610</v>
      </c>
    </row>
    <row r="86" spans="3:10">
      <c r="C86" s="312" t="s">
        <v>364</v>
      </c>
      <c r="D86" s="312"/>
      <c r="E86" s="312"/>
      <c r="F86" s="312"/>
      <c r="G86" s="312"/>
      <c r="H86" s="312"/>
      <c r="I86" s="332" t="s">
        <v>610</v>
      </c>
      <c r="J86" s="332" t="s">
        <v>610</v>
      </c>
    </row>
    <row r="87" spans="3:10">
      <c r="C87" s="312" t="s">
        <v>365</v>
      </c>
      <c r="D87" s="312"/>
      <c r="E87" s="312"/>
      <c r="F87" s="312"/>
      <c r="G87" s="312"/>
      <c r="H87" s="312"/>
      <c r="I87" s="332" t="s">
        <v>610</v>
      </c>
      <c r="J87" s="332" t="s">
        <v>610</v>
      </c>
    </row>
    <row r="88" spans="3:10">
      <c r="C88" s="315" t="s">
        <v>366</v>
      </c>
      <c r="D88" s="315"/>
      <c r="E88" s="315"/>
      <c r="F88" s="314"/>
      <c r="G88" s="314"/>
      <c r="H88" s="314"/>
      <c r="I88" s="332" t="s">
        <v>610</v>
      </c>
      <c r="J88" s="332" t="s">
        <v>610</v>
      </c>
    </row>
    <row r="89" spans="3:10">
      <c r="C89" s="2" t="s">
        <v>367</v>
      </c>
      <c r="D89" s="2"/>
      <c r="E89" s="2"/>
      <c r="F89" s="312"/>
      <c r="G89" s="312"/>
      <c r="H89" s="312"/>
      <c r="I89" s="534"/>
      <c r="J89" s="534"/>
    </row>
    <row r="90" spans="3:10">
      <c r="C90" s="312" t="s">
        <v>368</v>
      </c>
      <c r="D90" s="312"/>
      <c r="E90" s="312"/>
      <c r="F90" s="312"/>
      <c r="G90" s="312"/>
      <c r="H90" s="312"/>
      <c r="I90" s="332" t="s">
        <v>610</v>
      </c>
      <c r="J90" s="332" t="s">
        <v>610</v>
      </c>
    </row>
    <row r="91" spans="3:10">
      <c r="C91" s="312" t="s">
        <v>369</v>
      </c>
      <c r="D91" s="312"/>
      <c r="E91" s="312"/>
      <c r="F91" s="312"/>
      <c r="G91" s="312"/>
      <c r="H91" s="312"/>
      <c r="I91" s="332" t="s">
        <v>610</v>
      </c>
      <c r="J91" s="332" t="s">
        <v>610</v>
      </c>
    </row>
    <row r="92" spans="3:10">
      <c r="C92" s="312" t="s">
        <v>370</v>
      </c>
      <c r="D92" s="312"/>
      <c r="E92" s="312"/>
      <c r="F92" s="312"/>
      <c r="G92" s="312"/>
      <c r="H92" s="312"/>
      <c r="I92" s="332" t="s">
        <v>610</v>
      </c>
      <c r="J92" s="332" t="s">
        <v>610</v>
      </c>
    </row>
    <row r="93" spans="3:10">
      <c r="C93" s="2" t="s">
        <v>371</v>
      </c>
      <c r="D93" s="2"/>
      <c r="E93" s="2"/>
      <c r="F93" s="312"/>
      <c r="G93" s="312"/>
      <c r="H93" s="312"/>
      <c r="I93" s="332" t="s">
        <v>610</v>
      </c>
      <c r="J93" s="332" t="s">
        <v>610</v>
      </c>
    </row>
    <row r="94" spans="3:10">
      <c r="C94" s="2" t="s">
        <v>372</v>
      </c>
      <c r="D94" s="2"/>
      <c r="E94" s="2"/>
      <c r="F94" s="312"/>
      <c r="G94" s="312"/>
      <c r="H94" s="312"/>
      <c r="I94" s="332" t="s">
        <v>610</v>
      </c>
      <c r="J94" s="332" t="s">
        <v>610</v>
      </c>
    </row>
    <row r="95" spans="3:10">
      <c r="C95" s="2" t="s">
        <v>373</v>
      </c>
      <c r="D95" s="2"/>
      <c r="E95" s="2"/>
      <c r="F95" s="312"/>
      <c r="G95" s="312"/>
      <c r="H95" s="312"/>
      <c r="I95" s="332" t="s">
        <v>610</v>
      </c>
      <c r="J95" s="332" t="s">
        <v>610</v>
      </c>
    </row>
    <row r="96" spans="3:10">
      <c r="C96" s="2" t="s">
        <v>374</v>
      </c>
      <c r="D96" s="2"/>
      <c r="E96" s="2"/>
      <c r="F96" s="312"/>
      <c r="G96" s="312"/>
      <c r="H96" s="312"/>
      <c r="I96" s="332" t="s">
        <v>610</v>
      </c>
      <c r="J96" s="332" t="s">
        <v>610</v>
      </c>
    </row>
    <row r="97" spans="2:10">
      <c r="C97" s="2" t="s">
        <v>375</v>
      </c>
      <c r="D97" s="2"/>
      <c r="E97" s="2"/>
      <c r="F97" s="312"/>
      <c r="G97" s="312"/>
      <c r="H97" s="312"/>
      <c r="I97" s="332" t="s">
        <v>610</v>
      </c>
      <c r="J97" s="332" t="s">
        <v>610</v>
      </c>
    </row>
    <row r="98" spans="2:10">
      <c r="C98" s="2" t="s">
        <v>376</v>
      </c>
      <c r="D98" s="2"/>
      <c r="E98" s="2"/>
      <c r="F98" s="312"/>
      <c r="G98" s="312"/>
      <c r="H98" s="312"/>
      <c r="I98" s="332" t="s">
        <v>610</v>
      </c>
      <c r="J98" s="332" t="s">
        <v>610</v>
      </c>
    </row>
    <row r="99" spans="2:10">
      <c r="C99" s="308" t="s">
        <v>377</v>
      </c>
      <c r="D99" s="308"/>
      <c r="E99" s="308"/>
      <c r="F99" s="312"/>
      <c r="G99" s="312"/>
      <c r="H99" s="312"/>
      <c r="I99" s="364" t="s">
        <v>610</v>
      </c>
      <c r="J99" s="364" t="s">
        <v>610</v>
      </c>
    </row>
    <row r="100" spans="2:10">
      <c r="C100" s="2"/>
      <c r="D100" s="2"/>
      <c r="E100" s="2"/>
      <c r="F100" s="312"/>
      <c r="G100" s="312"/>
      <c r="H100" s="312"/>
      <c r="I100" s="331"/>
      <c r="J100" s="331"/>
    </row>
    <row r="101" spans="2:10">
      <c r="B101" s="309" t="s">
        <v>378</v>
      </c>
      <c r="C101" s="308"/>
      <c r="D101" s="308"/>
      <c r="E101" s="308"/>
      <c r="F101" s="313"/>
      <c r="G101" s="313"/>
      <c r="H101" s="313"/>
      <c r="I101" s="364" t="s">
        <v>610</v>
      </c>
      <c r="J101" s="364" t="s">
        <v>610</v>
      </c>
    </row>
    <row r="102" spans="2:10">
      <c r="B102" s="309"/>
      <c r="C102" s="308"/>
      <c r="D102" s="308"/>
      <c r="E102" s="308"/>
      <c r="F102" s="313"/>
      <c r="G102" s="313"/>
      <c r="H102" s="313"/>
      <c r="I102" s="331"/>
      <c r="J102" s="331"/>
    </row>
    <row r="103" spans="2:10">
      <c r="B103" s="308" t="s">
        <v>512</v>
      </c>
      <c r="C103" s="2"/>
      <c r="D103" s="2"/>
      <c r="E103" s="2"/>
      <c r="F103" s="312"/>
      <c r="G103" s="312"/>
      <c r="H103" s="312"/>
      <c r="I103" s="364" t="s">
        <v>610</v>
      </c>
      <c r="J103" s="364" t="s">
        <v>610</v>
      </c>
    </row>
    <row r="104" spans="2:10">
      <c r="B104" s="2"/>
      <c r="C104" s="2"/>
      <c r="D104" s="2"/>
      <c r="E104" s="2"/>
      <c r="F104" s="312"/>
      <c r="G104" s="312"/>
      <c r="H104" s="312"/>
      <c r="I104" s="331"/>
      <c r="J104" s="331"/>
    </row>
    <row r="105" spans="2:10">
      <c r="B105" s="308" t="s">
        <v>379</v>
      </c>
      <c r="C105" s="2"/>
      <c r="D105" s="2"/>
      <c r="E105" s="2"/>
      <c r="F105" s="312"/>
      <c r="G105" s="312"/>
      <c r="H105" s="312"/>
      <c r="I105" s="331"/>
      <c r="J105" s="331"/>
    </row>
    <row r="106" spans="2:10">
      <c r="C106" s="2" t="s">
        <v>380</v>
      </c>
      <c r="D106" s="2"/>
      <c r="E106" s="2"/>
      <c r="F106" s="312"/>
      <c r="G106" s="312"/>
      <c r="H106" s="312"/>
      <c r="I106" s="332" t="s">
        <v>610</v>
      </c>
      <c r="J106" s="332" t="s">
        <v>610</v>
      </c>
    </row>
    <row r="107" spans="2:10">
      <c r="C107" s="2" t="s">
        <v>381</v>
      </c>
      <c r="D107" s="2"/>
      <c r="E107" s="2"/>
      <c r="F107" s="312"/>
      <c r="G107" s="312"/>
      <c r="H107" s="312"/>
      <c r="I107" s="332" t="s">
        <v>610</v>
      </c>
      <c r="J107" s="332" t="s">
        <v>610</v>
      </c>
    </row>
    <row r="108" spans="2:10">
      <c r="C108" s="2" t="s">
        <v>382</v>
      </c>
      <c r="D108" s="2"/>
      <c r="E108" s="2"/>
      <c r="F108" s="312"/>
      <c r="G108" s="312"/>
      <c r="H108" s="312"/>
      <c r="I108" s="332" t="s">
        <v>611</v>
      </c>
      <c r="J108" s="332" t="s">
        <v>611</v>
      </c>
    </row>
    <row r="109" spans="2:10">
      <c r="C109" s="308" t="s">
        <v>534</v>
      </c>
      <c r="D109" s="2"/>
      <c r="E109" s="2"/>
      <c r="F109" s="312"/>
      <c r="G109" s="312"/>
      <c r="H109" s="312"/>
      <c r="I109" s="364" t="s">
        <v>610</v>
      </c>
      <c r="J109" s="364" t="s">
        <v>610</v>
      </c>
    </row>
    <row r="110" spans="2:10">
      <c r="C110" s="2" t="s">
        <v>524</v>
      </c>
      <c r="D110" s="2"/>
      <c r="E110" s="2"/>
      <c r="F110" s="312"/>
      <c r="G110" s="312"/>
      <c r="H110" s="312"/>
      <c r="I110" s="332" t="s">
        <v>611</v>
      </c>
      <c r="J110" s="332" t="s">
        <v>611</v>
      </c>
    </row>
    <row r="111" spans="2:10">
      <c r="C111" s="2" t="s">
        <v>383</v>
      </c>
      <c r="D111" s="2"/>
      <c r="E111" s="2"/>
      <c r="F111" s="312"/>
      <c r="G111" s="312"/>
      <c r="H111" s="312"/>
      <c r="I111" s="332" t="s">
        <v>611</v>
      </c>
      <c r="J111" s="332" t="s">
        <v>611</v>
      </c>
    </row>
    <row r="112" spans="2:10">
      <c r="C112" s="2" t="s">
        <v>384</v>
      </c>
      <c r="D112" s="2"/>
      <c r="E112" s="2"/>
      <c r="F112" s="312"/>
      <c r="G112" s="312"/>
      <c r="H112" s="312"/>
      <c r="I112" s="332" t="s">
        <v>611</v>
      </c>
      <c r="J112" s="332" t="s">
        <v>611</v>
      </c>
    </row>
    <row r="113" spans="2:10">
      <c r="C113" s="2" t="s">
        <v>544</v>
      </c>
      <c r="D113" s="2"/>
      <c r="E113" s="2"/>
      <c r="F113" s="312"/>
      <c r="G113" s="312"/>
      <c r="H113" s="312"/>
      <c r="I113" s="332">
        <v>41002</v>
      </c>
      <c r="J113" s="332" t="s">
        <v>14</v>
      </c>
    </row>
    <row r="114" spans="2:10">
      <c r="C114" s="2" t="s">
        <v>385</v>
      </c>
      <c r="D114" s="2"/>
      <c r="E114" s="2"/>
      <c r="F114" s="312"/>
      <c r="G114" s="312"/>
      <c r="H114" s="312"/>
      <c r="I114" s="332" t="s">
        <v>611</v>
      </c>
      <c r="J114" s="332" t="s">
        <v>611</v>
      </c>
    </row>
    <row r="115" spans="2:10">
      <c r="C115" s="2" t="s">
        <v>386</v>
      </c>
      <c r="D115" s="2"/>
      <c r="E115" s="2"/>
      <c r="F115" s="312"/>
      <c r="G115" s="312"/>
      <c r="H115" s="312"/>
      <c r="I115" s="332">
        <v>41153</v>
      </c>
      <c r="J115" s="332" t="s">
        <v>14</v>
      </c>
    </row>
    <row r="116" spans="2:10">
      <c r="C116" s="2" t="s">
        <v>523</v>
      </c>
      <c r="D116" s="2"/>
      <c r="E116" s="2"/>
      <c r="F116" s="312"/>
      <c r="G116" s="312"/>
      <c r="H116" s="312"/>
      <c r="I116" s="332" t="s">
        <v>611</v>
      </c>
      <c r="J116" s="332" t="s">
        <v>611</v>
      </c>
    </row>
    <row r="117" spans="2:10">
      <c r="C117" s="308" t="s">
        <v>526</v>
      </c>
      <c r="D117" s="2"/>
      <c r="E117" s="2"/>
      <c r="F117" s="312"/>
      <c r="G117" s="312"/>
      <c r="H117" s="312"/>
      <c r="I117" s="364" t="s">
        <v>14</v>
      </c>
      <c r="J117" s="364" t="s">
        <v>14</v>
      </c>
    </row>
    <row r="118" spans="2:10">
      <c r="C118" s="2"/>
      <c r="D118" s="2"/>
      <c r="E118" s="2"/>
      <c r="F118" s="312"/>
      <c r="G118" s="312"/>
      <c r="H118" s="312"/>
      <c r="I118" s="331"/>
      <c r="J118" s="331"/>
    </row>
    <row r="119" spans="2:10">
      <c r="B119" s="308" t="s">
        <v>218</v>
      </c>
      <c r="C119" s="301"/>
      <c r="D119" s="301"/>
      <c r="E119" s="301"/>
      <c r="F119" s="312"/>
      <c r="G119" s="312"/>
      <c r="H119" s="312"/>
      <c r="I119" s="331"/>
      <c r="J119" s="331"/>
    </row>
    <row r="120" spans="2:10">
      <c r="C120" s="310" t="s">
        <v>387</v>
      </c>
      <c r="D120" s="310"/>
      <c r="E120" s="310"/>
      <c r="F120" s="312"/>
      <c r="G120" s="312"/>
      <c r="H120" s="312"/>
      <c r="I120" s="333"/>
      <c r="J120" s="333"/>
    </row>
    <row r="121" spans="2:10">
      <c r="C121" s="312" t="s">
        <v>388</v>
      </c>
      <c r="D121" s="312"/>
      <c r="E121" s="312"/>
      <c r="F121" s="312"/>
      <c r="G121" s="312"/>
      <c r="H121" s="312"/>
      <c r="I121" s="334"/>
      <c r="J121" s="334"/>
    </row>
    <row r="122" spans="2:10">
      <c r="C122" s="315" t="s">
        <v>389</v>
      </c>
      <c r="D122" s="315"/>
      <c r="E122" s="315"/>
      <c r="F122" s="315"/>
      <c r="G122" s="315"/>
      <c r="H122" s="315"/>
      <c r="I122" s="332" t="s">
        <v>610</v>
      </c>
      <c r="J122" s="332" t="s">
        <v>610</v>
      </c>
    </row>
    <row r="123" spans="2:10">
      <c r="C123" s="315" t="s">
        <v>342</v>
      </c>
      <c r="D123" s="315"/>
      <c r="E123" s="315"/>
      <c r="F123" s="315"/>
      <c r="G123" s="315"/>
      <c r="H123" s="315"/>
      <c r="I123" s="332" t="s">
        <v>610</v>
      </c>
      <c r="J123" s="332" t="s">
        <v>610</v>
      </c>
    </row>
    <row r="124" spans="2:10">
      <c r="C124" s="315" t="s">
        <v>390</v>
      </c>
      <c r="D124" s="315"/>
      <c r="E124" s="315"/>
      <c r="F124" s="315"/>
      <c r="G124" s="315"/>
      <c r="H124" s="315"/>
      <c r="I124" s="332" t="s">
        <v>610</v>
      </c>
      <c r="J124" s="332" t="s">
        <v>610</v>
      </c>
    </row>
    <row r="125" spans="2:10">
      <c r="C125" s="312" t="s">
        <v>391</v>
      </c>
      <c r="D125" s="312"/>
      <c r="E125" s="312"/>
      <c r="F125" s="312"/>
      <c r="G125" s="312"/>
      <c r="H125" s="312"/>
      <c r="I125" s="335"/>
      <c r="J125" s="335"/>
    </row>
    <row r="126" spans="2:10">
      <c r="C126" s="315" t="s">
        <v>389</v>
      </c>
      <c r="D126" s="315"/>
      <c r="E126" s="315"/>
      <c r="F126" s="315"/>
      <c r="G126" s="315"/>
      <c r="H126" s="315"/>
      <c r="I126" s="333"/>
      <c r="J126" s="333"/>
    </row>
    <row r="127" spans="2:10">
      <c r="C127" s="315" t="s">
        <v>392</v>
      </c>
      <c r="D127" s="315"/>
      <c r="E127" s="315"/>
      <c r="F127" s="315"/>
      <c r="G127" s="315"/>
      <c r="H127" s="315"/>
      <c r="I127" s="332" t="s">
        <v>610</v>
      </c>
      <c r="J127" s="332" t="s">
        <v>610</v>
      </c>
    </row>
    <row r="128" spans="2:10">
      <c r="C128" s="315" t="s">
        <v>393</v>
      </c>
      <c r="D128" s="315"/>
      <c r="E128" s="315"/>
      <c r="F128" s="315"/>
      <c r="G128" s="315"/>
      <c r="H128" s="315"/>
      <c r="I128" s="332" t="s">
        <v>610</v>
      </c>
      <c r="J128" s="332" t="s">
        <v>610</v>
      </c>
    </row>
    <row r="129" spans="2:10">
      <c r="C129" s="315" t="s">
        <v>394</v>
      </c>
      <c r="D129" s="315"/>
      <c r="E129" s="315"/>
      <c r="F129" s="315"/>
      <c r="G129" s="315"/>
      <c r="H129" s="315"/>
      <c r="I129" s="332" t="s">
        <v>610</v>
      </c>
      <c r="J129" s="332" t="s">
        <v>610</v>
      </c>
    </row>
    <row r="130" spans="2:10">
      <c r="C130" s="315" t="s">
        <v>395</v>
      </c>
      <c r="D130" s="315"/>
      <c r="E130" s="315"/>
      <c r="F130" s="315"/>
      <c r="G130" s="315"/>
      <c r="H130" s="315"/>
      <c r="I130" s="534"/>
      <c r="J130" s="534"/>
    </row>
    <row r="131" spans="2:10">
      <c r="C131" s="315" t="s">
        <v>392</v>
      </c>
      <c r="D131" s="315"/>
      <c r="E131" s="315"/>
      <c r="F131" s="315"/>
      <c r="G131" s="315"/>
      <c r="H131" s="315"/>
      <c r="I131" s="332" t="s">
        <v>610</v>
      </c>
      <c r="J131" s="332" t="s">
        <v>610</v>
      </c>
    </row>
    <row r="132" spans="2:10">
      <c r="C132" s="315" t="s">
        <v>393</v>
      </c>
      <c r="D132" s="315"/>
      <c r="E132" s="315"/>
      <c r="F132" s="315"/>
      <c r="G132" s="315"/>
      <c r="H132" s="315"/>
      <c r="I132" s="332" t="s">
        <v>610</v>
      </c>
      <c r="J132" s="332" t="s">
        <v>610</v>
      </c>
    </row>
    <row r="133" spans="2:10">
      <c r="C133" s="315" t="s">
        <v>394</v>
      </c>
      <c r="D133" s="315"/>
      <c r="E133" s="315"/>
      <c r="F133" s="315"/>
      <c r="G133" s="315"/>
      <c r="H133" s="315"/>
      <c r="I133" s="332" t="s">
        <v>610</v>
      </c>
      <c r="J133" s="332" t="s">
        <v>610</v>
      </c>
    </row>
    <row r="134" spans="2:10">
      <c r="C134" s="315" t="s">
        <v>396</v>
      </c>
      <c r="D134" s="315"/>
      <c r="E134" s="315"/>
      <c r="F134" s="315"/>
      <c r="G134" s="315"/>
      <c r="H134" s="315"/>
      <c r="I134" s="332" t="s">
        <v>610</v>
      </c>
      <c r="J134" s="332" t="s">
        <v>610</v>
      </c>
    </row>
    <row r="135" spans="2:10">
      <c r="C135" s="315" t="s">
        <v>390</v>
      </c>
      <c r="D135" s="315"/>
      <c r="E135" s="315"/>
      <c r="F135" s="315"/>
      <c r="G135" s="315"/>
      <c r="H135" s="315"/>
      <c r="I135" s="534"/>
      <c r="J135" s="534"/>
    </row>
    <row r="136" spans="2:10">
      <c r="C136" s="315" t="s">
        <v>392</v>
      </c>
      <c r="D136" s="315"/>
      <c r="E136" s="315"/>
      <c r="F136" s="315"/>
      <c r="G136" s="315"/>
      <c r="H136" s="315"/>
      <c r="I136" s="332" t="s">
        <v>610</v>
      </c>
      <c r="J136" s="332" t="s">
        <v>610</v>
      </c>
    </row>
    <row r="137" spans="2:10">
      <c r="C137" s="315" t="s">
        <v>393</v>
      </c>
      <c r="D137" s="315"/>
      <c r="E137" s="315"/>
      <c r="F137" s="315"/>
      <c r="G137" s="315"/>
      <c r="H137" s="315"/>
      <c r="I137" s="332" t="s">
        <v>610</v>
      </c>
      <c r="J137" s="332" t="s">
        <v>610</v>
      </c>
    </row>
    <row r="138" spans="2:10">
      <c r="C138" s="313" t="s">
        <v>528</v>
      </c>
      <c r="D138" s="312"/>
      <c r="E138" s="312"/>
      <c r="F138" s="312"/>
      <c r="G138" s="312"/>
      <c r="H138" s="312"/>
      <c r="I138" s="364">
        <v>40848</v>
      </c>
      <c r="J138" s="364">
        <v>40848</v>
      </c>
    </row>
    <row r="139" spans="2:10">
      <c r="C139" s="312"/>
      <c r="D139" s="312"/>
      <c r="E139" s="312"/>
      <c r="F139" s="312"/>
      <c r="G139" s="312"/>
      <c r="H139" s="312"/>
      <c r="I139" s="333"/>
      <c r="J139" s="333"/>
    </row>
    <row r="140" spans="2:10">
      <c r="B140" s="308" t="s">
        <v>397</v>
      </c>
      <c r="C140" s="308"/>
      <c r="D140" s="308"/>
      <c r="E140" s="308"/>
      <c r="F140" s="312"/>
      <c r="G140" s="312"/>
      <c r="H140" s="312"/>
      <c r="I140" s="331"/>
      <c r="J140" s="331"/>
    </row>
    <row r="141" spans="2:10">
      <c r="C141" s="2" t="s">
        <v>356</v>
      </c>
      <c r="D141" s="2"/>
      <c r="E141" s="2"/>
      <c r="F141" s="312"/>
      <c r="G141" s="312"/>
      <c r="H141" s="312"/>
      <c r="I141" s="332" t="s">
        <v>610</v>
      </c>
      <c r="J141" s="332" t="s">
        <v>610</v>
      </c>
    </row>
    <row r="142" spans="2:10">
      <c r="C142" s="2" t="s">
        <v>398</v>
      </c>
      <c r="D142" s="2"/>
      <c r="E142" s="2"/>
      <c r="F142" s="312"/>
      <c r="G142" s="312"/>
      <c r="H142" s="312"/>
      <c r="I142" s="332" t="s">
        <v>610</v>
      </c>
      <c r="J142" s="332" t="s">
        <v>610</v>
      </c>
    </row>
    <row r="143" spans="2:10">
      <c r="C143" s="2" t="s">
        <v>399</v>
      </c>
      <c r="D143" s="2"/>
      <c r="E143" s="2"/>
      <c r="F143" s="312"/>
      <c r="G143" s="312"/>
      <c r="H143" s="312"/>
      <c r="I143" s="332" t="s">
        <v>610</v>
      </c>
      <c r="J143" s="332" t="s">
        <v>610</v>
      </c>
    </row>
    <row r="144" spans="2:10">
      <c r="C144" s="312" t="s">
        <v>363</v>
      </c>
      <c r="D144" s="312"/>
      <c r="E144" s="312"/>
      <c r="F144" s="312"/>
      <c r="G144" s="312"/>
      <c r="H144" s="312"/>
      <c r="I144" s="332" t="s">
        <v>610</v>
      </c>
      <c r="J144" s="332" t="s">
        <v>610</v>
      </c>
    </row>
    <row r="145" spans="3:10">
      <c r="C145" s="2" t="s">
        <v>400</v>
      </c>
      <c r="D145" s="2"/>
      <c r="E145" s="2"/>
      <c r="F145" s="312"/>
      <c r="G145" s="312"/>
      <c r="H145" s="312"/>
      <c r="I145" s="332" t="s">
        <v>610</v>
      </c>
      <c r="J145" s="332" t="s">
        <v>610</v>
      </c>
    </row>
    <row r="146" spans="3:10">
      <c r="C146" s="2" t="s">
        <v>401</v>
      </c>
      <c r="D146" s="2"/>
      <c r="E146" s="2"/>
      <c r="F146" s="312"/>
      <c r="G146" s="312"/>
      <c r="H146" s="312"/>
      <c r="I146" s="332" t="s">
        <v>610</v>
      </c>
      <c r="J146" s="332" t="s">
        <v>610</v>
      </c>
    </row>
    <row r="147" spans="3:10">
      <c r="C147" s="2" t="s">
        <v>402</v>
      </c>
      <c r="D147" s="2"/>
      <c r="E147" s="2"/>
      <c r="F147" s="312"/>
      <c r="G147" s="312"/>
      <c r="H147" s="312"/>
      <c r="I147" s="332" t="s">
        <v>610</v>
      </c>
      <c r="J147" s="332" t="s">
        <v>610</v>
      </c>
    </row>
    <row r="148" spans="3:10">
      <c r="C148" s="312" t="s">
        <v>403</v>
      </c>
      <c r="D148" s="312"/>
      <c r="E148" s="312"/>
      <c r="F148" s="312"/>
      <c r="G148" s="312"/>
      <c r="H148" s="312"/>
      <c r="I148" s="332" t="s">
        <v>610</v>
      </c>
      <c r="J148" s="332" t="s">
        <v>610</v>
      </c>
    </row>
    <row r="149" spans="3:10">
      <c r="C149" s="312" t="s">
        <v>404</v>
      </c>
      <c r="D149" s="312"/>
      <c r="E149" s="312"/>
      <c r="F149" s="312"/>
      <c r="G149" s="312"/>
      <c r="H149" s="312"/>
      <c r="I149" s="332" t="s">
        <v>610</v>
      </c>
      <c r="J149" s="332" t="s">
        <v>610</v>
      </c>
    </row>
    <row r="150" spans="3:10">
      <c r="C150" s="312" t="s">
        <v>405</v>
      </c>
      <c r="D150" s="312"/>
      <c r="E150" s="312"/>
      <c r="F150" s="312"/>
      <c r="G150" s="312"/>
      <c r="H150" s="312"/>
      <c r="I150" s="332" t="s">
        <v>610</v>
      </c>
      <c r="J150" s="332" t="s">
        <v>610</v>
      </c>
    </row>
    <row r="151" spans="3:10">
      <c r="C151" s="2" t="s">
        <v>406</v>
      </c>
      <c r="D151" s="2"/>
      <c r="E151" s="2"/>
      <c r="F151" s="312"/>
      <c r="G151" s="312"/>
      <c r="H151" s="312"/>
      <c r="I151" s="332" t="s">
        <v>610</v>
      </c>
      <c r="J151" s="332" t="s">
        <v>610</v>
      </c>
    </row>
    <row r="152" spans="3:10">
      <c r="C152" s="2" t="s">
        <v>407</v>
      </c>
      <c r="D152" s="2"/>
      <c r="E152" s="2"/>
      <c r="F152" s="312"/>
      <c r="G152" s="312"/>
      <c r="H152" s="312"/>
      <c r="I152" s="332" t="s">
        <v>610</v>
      </c>
      <c r="J152" s="332" t="s">
        <v>610</v>
      </c>
    </row>
    <row r="153" spans="3:10">
      <c r="C153" s="312" t="s">
        <v>408</v>
      </c>
      <c r="D153" s="312"/>
      <c r="E153" s="312"/>
      <c r="F153" s="312"/>
      <c r="G153" s="312"/>
      <c r="H153" s="312"/>
      <c r="I153" s="332" t="s">
        <v>610</v>
      </c>
      <c r="J153" s="332" t="s">
        <v>610</v>
      </c>
    </row>
    <row r="154" spans="3:10">
      <c r="C154" s="312" t="s">
        <v>409</v>
      </c>
      <c r="D154" s="312"/>
      <c r="E154" s="312"/>
      <c r="F154" s="312"/>
      <c r="G154" s="312"/>
      <c r="H154" s="312"/>
      <c r="I154" s="332" t="s">
        <v>610</v>
      </c>
      <c r="J154" s="332" t="s">
        <v>610</v>
      </c>
    </row>
    <row r="155" spans="3:10">
      <c r="C155" s="2" t="s">
        <v>410</v>
      </c>
      <c r="D155" s="2"/>
      <c r="E155" s="2"/>
      <c r="F155" s="312"/>
      <c r="G155" s="312"/>
      <c r="H155" s="312"/>
      <c r="I155" s="332" t="s">
        <v>610</v>
      </c>
      <c r="J155" s="332" t="s">
        <v>610</v>
      </c>
    </row>
    <row r="156" spans="3:10">
      <c r="C156" s="312" t="s">
        <v>411</v>
      </c>
      <c r="D156" s="312"/>
      <c r="E156" s="312"/>
      <c r="F156" s="312"/>
      <c r="G156" s="312"/>
      <c r="H156" s="312"/>
      <c r="I156" s="332" t="s">
        <v>610</v>
      </c>
      <c r="J156" s="332" t="s">
        <v>610</v>
      </c>
    </row>
    <row r="157" spans="3:10">
      <c r="C157" s="312" t="s">
        <v>412</v>
      </c>
      <c r="D157" s="312"/>
      <c r="E157" s="312"/>
      <c r="F157" s="312"/>
      <c r="G157" s="312"/>
      <c r="H157" s="312"/>
      <c r="I157" s="332" t="s">
        <v>610</v>
      </c>
      <c r="J157" s="332" t="s">
        <v>610</v>
      </c>
    </row>
    <row r="158" spans="3:10">
      <c r="C158" s="312" t="s">
        <v>413</v>
      </c>
      <c r="D158" s="312"/>
      <c r="E158" s="312"/>
      <c r="F158" s="312"/>
      <c r="G158" s="312"/>
      <c r="H158" s="312"/>
      <c r="I158" s="332" t="s">
        <v>610</v>
      </c>
      <c r="J158" s="332" t="s">
        <v>610</v>
      </c>
    </row>
    <row r="159" spans="3:10">
      <c r="C159" s="312" t="s">
        <v>414</v>
      </c>
      <c r="D159" s="312"/>
      <c r="E159" s="312"/>
      <c r="F159" s="312"/>
      <c r="G159" s="312"/>
      <c r="H159" s="312"/>
      <c r="I159" s="332" t="s">
        <v>610</v>
      </c>
      <c r="J159" s="332" t="s">
        <v>610</v>
      </c>
    </row>
    <row r="160" spans="3:10">
      <c r="C160" s="312" t="s">
        <v>415</v>
      </c>
      <c r="D160" s="312"/>
      <c r="E160" s="312"/>
      <c r="F160" s="312"/>
      <c r="G160" s="312"/>
      <c r="H160" s="312"/>
      <c r="I160" s="332" t="s">
        <v>610</v>
      </c>
      <c r="J160" s="332" t="s">
        <v>610</v>
      </c>
    </row>
    <row r="161" spans="3:10">
      <c r="C161" s="2" t="s">
        <v>416</v>
      </c>
      <c r="D161" s="2"/>
      <c r="E161" s="2"/>
      <c r="F161" s="312"/>
      <c r="G161" s="312"/>
      <c r="H161" s="312"/>
      <c r="I161" s="332" t="s">
        <v>610</v>
      </c>
      <c r="J161" s="332" t="s">
        <v>610</v>
      </c>
    </row>
    <row r="162" spans="3:10">
      <c r="C162" s="312" t="s">
        <v>417</v>
      </c>
      <c r="D162" s="312"/>
      <c r="E162" s="312"/>
      <c r="F162" s="312"/>
      <c r="G162" s="312"/>
      <c r="H162" s="312"/>
      <c r="I162" s="332" t="s">
        <v>610</v>
      </c>
      <c r="J162" s="332" t="s">
        <v>610</v>
      </c>
    </row>
    <row r="163" spans="3:10">
      <c r="C163" s="312" t="s">
        <v>418</v>
      </c>
      <c r="D163" s="312"/>
      <c r="E163" s="312"/>
      <c r="F163" s="312"/>
      <c r="G163" s="312"/>
      <c r="H163" s="312"/>
      <c r="I163" s="332" t="s">
        <v>610</v>
      </c>
      <c r="J163" s="332" t="s">
        <v>610</v>
      </c>
    </row>
    <row r="164" spans="3:10">
      <c r="C164" s="315" t="s">
        <v>419</v>
      </c>
      <c r="D164" s="315"/>
      <c r="E164" s="315"/>
      <c r="F164" s="315"/>
      <c r="G164" s="315"/>
      <c r="H164" s="315"/>
      <c r="I164" s="332" t="s">
        <v>610</v>
      </c>
      <c r="J164" s="332" t="s">
        <v>610</v>
      </c>
    </row>
    <row r="165" spans="3:10">
      <c r="C165" s="315" t="s">
        <v>420</v>
      </c>
      <c r="D165" s="315"/>
      <c r="E165" s="315"/>
      <c r="F165" s="315"/>
      <c r="G165" s="315"/>
      <c r="H165" s="315"/>
      <c r="I165" s="332" t="s">
        <v>610</v>
      </c>
      <c r="J165" s="332" t="s">
        <v>610</v>
      </c>
    </row>
    <row r="166" spans="3:10">
      <c r="C166" s="315" t="s">
        <v>421</v>
      </c>
      <c r="D166" s="315"/>
      <c r="E166" s="315"/>
      <c r="F166" s="315"/>
      <c r="G166" s="315"/>
      <c r="H166" s="315"/>
      <c r="I166" s="332" t="s">
        <v>610</v>
      </c>
      <c r="J166" s="332" t="s">
        <v>610</v>
      </c>
    </row>
    <row r="167" spans="3:10">
      <c r="C167" s="312" t="s">
        <v>422</v>
      </c>
      <c r="D167" s="312"/>
      <c r="E167" s="312"/>
      <c r="F167" s="312"/>
      <c r="G167" s="312"/>
      <c r="H167" s="312"/>
      <c r="I167" s="332" t="s">
        <v>610</v>
      </c>
      <c r="J167" s="332" t="s">
        <v>610</v>
      </c>
    </row>
    <row r="168" spans="3:10">
      <c r="C168" s="312" t="s">
        <v>423</v>
      </c>
      <c r="D168" s="312"/>
      <c r="E168" s="312"/>
      <c r="F168" s="312"/>
      <c r="G168" s="312"/>
      <c r="H168" s="312"/>
      <c r="I168" s="332" t="s">
        <v>610</v>
      </c>
      <c r="J168" s="332" t="s">
        <v>610</v>
      </c>
    </row>
    <row r="169" spans="3:10">
      <c r="C169" s="2" t="s">
        <v>424</v>
      </c>
      <c r="D169" s="2"/>
      <c r="E169" s="2"/>
      <c r="F169" s="312"/>
      <c r="G169" s="312"/>
      <c r="H169" s="312"/>
      <c r="I169" s="332" t="s">
        <v>610</v>
      </c>
      <c r="J169" s="332" t="s">
        <v>610</v>
      </c>
    </row>
    <row r="170" spans="3:10">
      <c r="C170" s="312" t="s">
        <v>425</v>
      </c>
      <c r="D170" s="312"/>
      <c r="E170" s="312"/>
      <c r="F170" s="312"/>
      <c r="G170" s="312"/>
      <c r="H170" s="312"/>
      <c r="I170" s="332" t="s">
        <v>610</v>
      </c>
      <c r="J170" s="332" t="s">
        <v>610</v>
      </c>
    </row>
    <row r="171" spans="3:10">
      <c r="C171" s="312" t="s">
        <v>426</v>
      </c>
      <c r="D171" s="312"/>
      <c r="E171" s="312"/>
      <c r="F171" s="312"/>
      <c r="G171" s="312"/>
      <c r="H171" s="312"/>
      <c r="I171" s="332" t="s">
        <v>610</v>
      </c>
      <c r="J171" s="332" t="s">
        <v>610</v>
      </c>
    </row>
    <row r="172" spans="3:10">
      <c r="C172" s="315" t="s">
        <v>427</v>
      </c>
      <c r="D172" s="315"/>
      <c r="E172" s="315"/>
      <c r="F172" s="315"/>
      <c r="G172" s="315"/>
      <c r="H172" s="315"/>
      <c r="I172" s="332" t="s">
        <v>610</v>
      </c>
      <c r="J172" s="332" t="s">
        <v>610</v>
      </c>
    </row>
    <row r="173" spans="3:10">
      <c r="C173" s="315" t="s">
        <v>428</v>
      </c>
      <c r="D173" s="315"/>
      <c r="E173" s="315"/>
      <c r="F173" s="315"/>
      <c r="G173" s="315"/>
      <c r="H173" s="315"/>
      <c r="I173" s="332" t="s">
        <v>610</v>
      </c>
      <c r="J173" s="332" t="s">
        <v>610</v>
      </c>
    </row>
    <row r="174" spans="3:10">
      <c r="C174" s="312" t="s">
        <v>429</v>
      </c>
      <c r="D174" s="312"/>
      <c r="E174" s="312"/>
      <c r="F174" s="312"/>
      <c r="G174" s="312"/>
      <c r="H174" s="312"/>
      <c r="I174" s="332" t="s">
        <v>610</v>
      </c>
      <c r="J174" s="332" t="s">
        <v>610</v>
      </c>
    </row>
    <row r="175" spans="3:10">
      <c r="C175" s="315" t="s">
        <v>427</v>
      </c>
      <c r="D175" s="315"/>
      <c r="E175" s="315"/>
      <c r="F175" s="315"/>
      <c r="G175" s="315"/>
      <c r="H175" s="315"/>
      <c r="I175" s="332" t="s">
        <v>610</v>
      </c>
      <c r="J175" s="332" t="s">
        <v>610</v>
      </c>
    </row>
    <row r="176" spans="3:10">
      <c r="C176" s="315" t="s">
        <v>428</v>
      </c>
      <c r="D176" s="315"/>
      <c r="E176" s="315"/>
      <c r="F176" s="315"/>
      <c r="G176" s="315"/>
      <c r="H176" s="315"/>
      <c r="I176" s="332" t="s">
        <v>610</v>
      </c>
      <c r="J176" s="332" t="s">
        <v>610</v>
      </c>
    </row>
    <row r="177" spans="3:10">
      <c r="C177" s="312" t="s">
        <v>430</v>
      </c>
      <c r="D177" s="312"/>
      <c r="E177" s="312"/>
      <c r="F177" s="312"/>
      <c r="G177" s="312"/>
      <c r="H177" s="312"/>
      <c r="I177" s="332" t="s">
        <v>610</v>
      </c>
      <c r="J177" s="332" t="s">
        <v>610</v>
      </c>
    </row>
    <row r="178" spans="3:10">
      <c r="C178" s="315" t="s">
        <v>427</v>
      </c>
      <c r="D178" s="315"/>
      <c r="E178" s="315"/>
      <c r="F178" s="315"/>
      <c r="G178" s="315"/>
      <c r="H178" s="315"/>
      <c r="I178" s="332" t="s">
        <v>610</v>
      </c>
      <c r="J178" s="332" t="s">
        <v>610</v>
      </c>
    </row>
    <row r="179" spans="3:10">
      <c r="C179" s="315" t="s">
        <v>428</v>
      </c>
      <c r="D179" s="315"/>
      <c r="E179" s="315"/>
      <c r="F179" s="315"/>
      <c r="G179" s="315"/>
      <c r="H179" s="315"/>
      <c r="I179" s="332" t="s">
        <v>610</v>
      </c>
      <c r="J179" s="332" t="s">
        <v>610</v>
      </c>
    </row>
    <row r="180" spans="3:10">
      <c r="C180" s="312" t="s">
        <v>431</v>
      </c>
      <c r="D180" s="312"/>
      <c r="E180" s="312"/>
      <c r="F180" s="312"/>
      <c r="G180" s="312"/>
      <c r="H180" s="312"/>
      <c r="I180" s="332" t="s">
        <v>610</v>
      </c>
      <c r="J180" s="332" t="s">
        <v>610</v>
      </c>
    </row>
    <row r="181" spans="3:10">
      <c r="C181" s="315" t="s">
        <v>432</v>
      </c>
      <c r="D181" s="315"/>
      <c r="E181" s="315"/>
      <c r="F181" s="315"/>
      <c r="G181" s="315"/>
      <c r="H181" s="315"/>
      <c r="I181" s="332" t="s">
        <v>610</v>
      </c>
      <c r="J181" s="332" t="s">
        <v>610</v>
      </c>
    </row>
    <row r="182" spans="3:10">
      <c r="C182" s="315" t="s">
        <v>433</v>
      </c>
      <c r="D182" s="315"/>
      <c r="E182" s="315"/>
      <c r="F182" s="315"/>
      <c r="G182" s="315"/>
      <c r="H182" s="315"/>
      <c r="I182" s="332" t="s">
        <v>610</v>
      </c>
      <c r="J182" s="332" t="s">
        <v>610</v>
      </c>
    </row>
    <row r="183" spans="3:10">
      <c r="C183" s="315" t="s">
        <v>434</v>
      </c>
      <c r="D183" s="315"/>
      <c r="E183" s="315"/>
      <c r="F183" s="315"/>
      <c r="G183" s="315"/>
      <c r="H183" s="315"/>
      <c r="I183" s="332" t="s">
        <v>610</v>
      </c>
      <c r="J183" s="332" t="s">
        <v>610</v>
      </c>
    </row>
    <row r="184" spans="3:10">
      <c r="C184" s="315" t="s">
        <v>435</v>
      </c>
      <c r="D184" s="315"/>
      <c r="E184" s="315"/>
      <c r="F184" s="315"/>
      <c r="G184" s="315"/>
      <c r="H184" s="315"/>
      <c r="I184" s="332" t="s">
        <v>610</v>
      </c>
      <c r="J184" s="332" t="s">
        <v>610</v>
      </c>
    </row>
    <row r="185" spans="3:10">
      <c r="C185" s="310" t="s">
        <v>422</v>
      </c>
      <c r="D185" s="310"/>
      <c r="E185" s="310"/>
      <c r="F185" s="312"/>
      <c r="G185" s="312"/>
      <c r="H185" s="312"/>
      <c r="I185" s="332" t="s">
        <v>610</v>
      </c>
      <c r="J185" s="332" t="s">
        <v>610</v>
      </c>
    </row>
    <row r="186" spans="3:10">
      <c r="C186" s="312" t="s">
        <v>436</v>
      </c>
      <c r="D186" s="312"/>
      <c r="E186" s="312"/>
      <c r="F186" s="312"/>
      <c r="G186" s="312"/>
      <c r="H186" s="312"/>
      <c r="I186" s="332" t="s">
        <v>610</v>
      </c>
      <c r="J186" s="332" t="s">
        <v>610</v>
      </c>
    </row>
    <row r="187" spans="3:10">
      <c r="C187" s="312" t="s">
        <v>437</v>
      </c>
      <c r="D187" s="312"/>
      <c r="E187" s="312"/>
      <c r="F187" s="312"/>
      <c r="G187" s="312"/>
      <c r="H187" s="312"/>
      <c r="I187" s="332" t="s">
        <v>610</v>
      </c>
      <c r="J187" s="332" t="s">
        <v>610</v>
      </c>
    </row>
    <row r="188" spans="3:10">
      <c r="C188" s="312" t="s">
        <v>438</v>
      </c>
      <c r="D188" s="312"/>
      <c r="E188" s="312"/>
      <c r="F188" s="312"/>
      <c r="G188" s="312"/>
      <c r="H188" s="312"/>
      <c r="I188" s="332" t="s">
        <v>610</v>
      </c>
      <c r="J188" s="332" t="s">
        <v>610</v>
      </c>
    </row>
    <row r="189" spans="3:10">
      <c r="C189" s="312" t="s">
        <v>439</v>
      </c>
      <c r="D189" s="312"/>
      <c r="E189" s="312"/>
      <c r="F189" s="312"/>
      <c r="G189" s="312"/>
      <c r="H189" s="312"/>
      <c r="I189" s="332" t="s">
        <v>610</v>
      </c>
      <c r="J189" s="332" t="s">
        <v>610</v>
      </c>
    </row>
    <row r="190" spans="3:10">
      <c r="C190" s="310" t="s">
        <v>440</v>
      </c>
      <c r="D190" s="310"/>
      <c r="E190" s="310"/>
      <c r="F190" s="312"/>
      <c r="G190" s="312"/>
      <c r="H190" s="312"/>
      <c r="I190" s="332" t="s">
        <v>610</v>
      </c>
      <c r="J190" s="332" t="s">
        <v>610</v>
      </c>
    </row>
    <row r="191" spans="3:10">
      <c r="C191" s="310" t="s">
        <v>441</v>
      </c>
      <c r="D191" s="310"/>
      <c r="E191" s="310"/>
      <c r="F191" s="312"/>
      <c r="G191" s="312"/>
      <c r="H191" s="312"/>
      <c r="I191" s="332" t="s">
        <v>610</v>
      </c>
      <c r="J191" s="332" t="s">
        <v>610</v>
      </c>
    </row>
    <row r="192" spans="3:10">
      <c r="C192" s="310" t="s">
        <v>442</v>
      </c>
      <c r="D192" s="310"/>
      <c r="E192" s="310"/>
      <c r="F192" s="312"/>
      <c r="G192" s="312"/>
      <c r="H192" s="312"/>
      <c r="I192" s="332" t="s">
        <v>610</v>
      </c>
      <c r="J192" s="332" t="s">
        <v>610</v>
      </c>
    </row>
    <row r="193" spans="2:10">
      <c r="C193" s="310" t="s">
        <v>443</v>
      </c>
      <c r="D193" s="310"/>
      <c r="E193" s="310"/>
      <c r="F193" s="312"/>
      <c r="G193" s="312"/>
      <c r="H193" s="312"/>
      <c r="I193" s="332" t="s">
        <v>610</v>
      </c>
      <c r="J193" s="332" t="s">
        <v>610</v>
      </c>
    </row>
    <row r="194" spans="2:10">
      <c r="C194" s="310" t="s">
        <v>444</v>
      </c>
      <c r="D194" s="310"/>
      <c r="E194" s="310"/>
      <c r="F194" s="312"/>
      <c r="G194" s="312"/>
      <c r="H194" s="312"/>
      <c r="I194" s="332" t="s">
        <v>610</v>
      </c>
      <c r="J194" s="332" t="s">
        <v>610</v>
      </c>
    </row>
    <row r="195" spans="2:10">
      <c r="C195" s="312" t="s">
        <v>445</v>
      </c>
      <c r="D195" s="312"/>
      <c r="E195" s="312"/>
      <c r="F195" s="312"/>
      <c r="G195" s="312"/>
      <c r="H195" s="312"/>
      <c r="I195" s="332" t="s">
        <v>610</v>
      </c>
      <c r="J195" s="332" t="s">
        <v>610</v>
      </c>
    </row>
    <row r="196" spans="2:10">
      <c r="C196" s="315" t="s">
        <v>446</v>
      </c>
      <c r="D196" s="315"/>
      <c r="E196" s="315"/>
      <c r="F196" s="315"/>
      <c r="G196" s="315"/>
      <c r="H196" s="315"/>
      <c r="I196" s="332" t="s">
        <v>610</v>
      </c>
      <c r="J196" s="332" t="s">
        <v>610</v>
      </c>
    </row>
    <row r="197" spans="2:10">
      <c r="C197" s="315" t="s">
        <v>447</v>
      </c>
      <c r="D197" s="315"/>
      <c r="E197" s="315"/>
      <c r="F197" s="315"/>
      <c r="G197" s="315"/>
      <c r="H197" s="315"/>
      <c r="I197" s="332" t="s">
        <v>610</v>
      </c>
      <c r="J197" s="332" t="s">
        <v>610</v>
      </c>
    </row>
    <row r="198" spans="2:10">
      <c r="C198" s="315" t="s">
        <v>448</v>
      </c>
      <c r="D198" s="315"/>
      <c r="E198" s="315"/>
      <c r="F198" s="315"/>
      <c r="G198" s="315"/>
      <c r="H198" s="315"/>
      <c r="I198" s="332" t="s">
        <v>610</v>
      </c>
      <c r="J198" s="332" t="s">
        <v>610</v>
      </c>
    </row>
    <row r="199" spans="2:10">
      <c r="C199" s="312" t="s">
        <v>449</v>
      </c>
      <c r="D199" s="312"/>
      <c r="E199" s="312"/>
      <c r="F199" s="312"/>
      <c r="G199" s="312"/>
      <c r="H199" s="312"/>
      <c r="I199" s="332" t="s">
        <v>610</v>
      </c>
      <c r="J199" s="332" t="s">
        <v>610</v>
      </c>
    </row>
    <row r="200" spans="2:10">
      <c r="C200" s="312" t="s">
        <v>450</v>
      </c>
      <c r="D200" s="312"/>
      <c r="E200" s="312"/>
      <c r="F200" s="312"/>
      <c r="G200" s="312"/>
      <c r="H200" s="312"/>
      <c r="I200" s="332" t="s">
        <v>610</v>
      </c>
      <c r="J200" s="332" t="s">
        <v>610</v>
      </c>
    </row>
    <row r="201" spans="2:10">
      <c r="C201" s="315" t="s">
        <v>451</v>
      </c>
      <c r="D201" s="315"/>
      <c r="E201" s="315"/>
      <c r="F201" s="315"/>
      <c r="G201" s="315"/>
      <c r="H201" s="315"/>
      <c r="I201" s="332" t="s">
        <v>610</v>
      </c>
      <c r="J201" s="332" t="s">
        <v>610</v>
      </c>
    </row>
    <row r="202" spans="2:10">
      <c r="C202" s="315" t="s">
        <v>452</v>
      </c>
      <c r="D202" s="315"/>
      <c r="E202" s="315"/>
      <c r="F202" s="315"/>
      <c r="G202" s="315"/>
      <c r="H202" s="315"/>
      <c r="I202" s="332" t="s">
        <v>610</v>
      </c>
      <c r="J202" s="332" t="s">
        <v>610</v>
      </c>
    </row>
    <row r="203" spans="2:10">
      <c r="C203" s="350" t="s">
        <v>529</v>
      </c>
      <c r="D203" s="2"/>
      <c r="E203" s="2"/>
      <c r="F203" s="312"/>
      <c r="G203" s="312"/>
      <c r="H203" s="312"/>
      <c r="I203" s="364" t="s">
        <v>610</v>
      </c>
      <c r="J203" s="364" t="s">
        <v>610</v>
      </c>
    </row>
    <row r="204" spans="2:10">
      <c r="C204" s="2"/>
      <c r="D204" s="2"/>
      <c r="E204" s="2"/>
      <c r="F204" s="312"/>
      <c r="G204" s="312"/>
      <c r="H204" s="312"/>
      <c r="I204" s="331"/>
      <c r="J204" s="331"/>
    </row>
    <row r="205" spans="2:10">
      <c r="B205" s="12" t="s">
        <v>518</v>
      </c>
      <c r="C205" s="2"/>
      <c r="D205" s="2"/>
      <c r="E205" s="2"/>
      <c r="F205" s="312"/>
      <c r="G205" s="312"/>
      <c r="H205" s="312"/>
      <c r="I205" s="332" t="s">
        <v>610</v>
      </c>
      <c r="J205" s="332" t="s">
        <v>610</v>
      </c>
    </row>
    <row r="206" spans="2:10">
      <c r="B206" s="301"/>
      <c r="C206" s="2"/>
      <c r="D206" s="2"/>
      <c r="E206" s="2"/>
      <c r="F206" s="312"/>
      <c r="G206" s="312"/>
      <c r="H206" s="312"/>
      <c r="I206" s="331"/>
      <c r="J206" s="331"/>
    </row>
    <row r="207" spans="2:10">
      <c r="B207" s="308" t="s">
        <v>453</v>
      </c>
      <c r="C207" s="308"/>
      <c r="D207" s="308"/>
      <c r="E207" s="308"/>
      <c r="F207" s="313"/>
      <c r="G207" s="313"/>
      <c r="H207" s="313"/>
      <c r="I207" s="364" t="s">
        <v>610</v>
      </c>
      <c r="J207" s="364" t="s">
        <v>610</v>
      </c>
    </row>
    <row r="208" spans="2:10">
      <c r="C208" s="12" t="s">
        <v>454</v>
      </c>
      <c r="D208" s="12"/>
      <c r="E208" s="12"/>
      <c r="F208" s="313"/>
      <c r="G208" s="313"/>
      <c r="H208" s="313"/>
      <c r="I208" s="332" t="s">
        <v>610</v>
      </c>
      <c r="J208" s="332" t="s">
        <v>610</v>
      </c>
    </row>
    <row r="209" spans="2:10">
      <c r="C209" s="2"/>
      <c r="D209" s="2"/>
      <c r="E209" s="2"/>
      <c r="F209" s="312"/>
      <c r="G209" s="312"/>
      <c r="H209" s="312"/>
      <c r="I209" s="331"/>
      <c r="J209" s="331"/>
    </row>
    <row r="210" spans="2:10">
      <c r="B210" s="12" t="s">
        <v>455</v>
      </c>
      <c r="C210" s="2"/>
      <c r="D210" s="2"/>
      <c r="E210" s="2"/>
      <c r="F210" s="312"/>
      <c r="G210" s="312"/>
      <c r="H210" s="312"/>
      <c r="I210" s="332" t="s">
        <v>610</v>
      </c>
      <c r="J210" s="332" t="s">
        <v>610</v>
      </c>
    </row>
    <row r="211" spans="2:10">
      <c r="B211" s="2"/>
      <c r="C211" s="2"/>
      <c r="D211" s="2"/>
      <c r="E211" s="2"/>
      <c r="F211" s="312"/>
      <c r="G211" s="312"/>
      <c r="H211" s="312"/>
      <c r="I211" s="331"/>
      <c r="J211" s="331"/>
    </row>
    <row r="212" spans="2:10">
      <c r="B212" s="308" t="s">
        <v>456</v>
      </c>
      <c r="C212" s="2"/>
      <c r="D212" s="2"/>
      <c r="E212" s="2"/>
      <c r="F212" s="312"/>
      <c r="G212" s="312"/>
      <c r="H212" s="312"/>
      <c r="I212" s="331"/>
      <c r="J212" s="331"/>
    </row>
    <row r="213" spans="2:10">
      <c r="C213" s="2" t="s">
        <v>457</v>
      </c>
      <c r="D213" s="2"/>
      <c r="E213" s="2"/>
      <c r="F213" s="312"/>
      <c r="G213" s="312"/>
      <c r="H213" s="312"/>
      <c r="I213" s="332" t="s">
        <v>610</v>
      </c>
      <c r="J213" s="332" t="s">
        <v>610</v>
      </c>
    </row>
    <row r="214" spans="2:10">
      <c r="C214" s="2" t="s">
        <v>458</v>
      </c>
      <c r="D214" s="2"/>
      <c r="E214" s="2"/>
      <c r="F214" s="312"/>
      <c r="G214" s="312"/>
      <c r="H214" s="312"/>
      <c r="I214" s="332" t="s">
        <v>610</v>
      </c>
      <c r="J214" s="332" t="s">
        <v>610</v>
      </c>
    </row>
    <row r="215" spans="2:10">
      <c r="C215" s="312" t="s">
        <v>459</v>
      </c>
      <c r="D215" s="312"/>
      <c r="E215" s="312"/>
      <c r="F215" s="312"/>
      <c r="G215" s="312"/>
      <c r="H215" s="312"/>
      <c r="I215" s="332" t="s">
        <v>610</v>
      </c>
      <c r="J215" s="332" t="s">
        <v>610</v>
      </c>
    </row>
    <row r="216" spans="2:10">
      <c r="C216" s="312" t="s">
        <v>460</v>
      </c>
      <c r="D216" s="312"/>
      <c r="E216" s="312"/>
      <c r="F216" s="312"/>
      <c r="G216" s="312"/>
      <c r="H216" s="312"/>
      <c r="I216" s="332" t="s">
        <v>610</v>
      </c>
      <c r="J216" s="332" t="s">
        <v>610</v>
      </c>
    </row>
    <row r="217" spans="2:10">
      <c r="C217" s="312" t="s">
        <v>461</v>
      </c>
      <c r="D217" s="312"/>
      <c r="E217" s="312"/>
      <c r="F217" s="312"/>
      <c r="G217" s="312"/>
      <c r="H217" s="312"/>
      <c r="I217" s="332" t="s">
        <v>610</v>
      </c>
      <c r="J217" s="332" t="s">
        <v>610</v>
      </c>
    </row>
    <row r="218" spans="2:10">
      <c r="C218" s="315" t="s">
        <v>462</v>
      </c>
      <c r="D218" s="315"/>
      <c r="E218" s="315"/>
      <c r="F218" s="315"/>
      <c r="G218" s="315"/>
      <c r="H218" s="315"/>
      <c r="I218" s="332" t="s">
        <v>610</v>
      </c>
      <c r="J218" s="332" t="s">
        <v>610</v>
      </c>
    </row>
    <row r="219" spans="2:10">
      <c r="C219" s="315" t="s">
        <v>463</v>
      </c>
      <c r="D219" s="315"/>
      <c r="E219" s="315"/>
      <c r="F219" s="315"/>
      <c r="G219" s="315"/>
      <c r="H219" s="315"/>
      <c r="I219" s="332" t="s">
        <v>610</v>
      </c>
      <c r="J219" s="332" t="s">
        <v>610</v>
      </c>
    </row>
    <row r="220" spans="2:10">
      <c r="C220" s="315" t="s">
        <v>464</v>
      </c>
      <c r="D220" s="315"/>
      <c r="E220" s="315"/>
      <c r="F220" s="315"/>
      <c r="G220" s="315"/>
      <c r="H220" s="315"/>
      <c r="I220" s="332" t="s">
        <v>610</v>
      </c>
      <c r="J220" s="332" t="s">
        <v>610</v>
      </c>
    </row>
    <row r="221" spans="2:10">
      <c r="C221" s="315" t="s">
        <v>465</v>
      </c>
      <c r="D221" s="315"/>
      <c r="E221" s="315"/>
      <c r="F221" s="315"/>
      <c r="G221" s="315"/>
      <c r="H221" s="315"/>
      <c r="I221" s="332" t="s">
        <v>610</v>
      </c>
      <c r="J221" s="332" t="s">
        <v>610</v>
      </c>
    </row>
    <row r="222" spans="2:10">
      <c r="C222" s="315" t="s">
        <v>390</v>
      </c>
      <c r="D222" s="315"/>
      <c r="E222" s="315"/>
      <c r="F222" s="315"/>
      <c r="G222" s="315"/>
      <c r="H222" s="315"/>
      <c r="I222" s="332" t="s">
        <v>610</v>
      </c>
      <c r="J222" s="332" t="s">
        <v>610</v>
      </c>
    </row>
    <row r="223" spans="2:10">
      <c r="B223" s="312" t="s">
        <v>513</v>
      </c>
      <c r="C223" s="312" t="s">
        <v>466</v>
      </c>
      <c r="D223" s="312"/>
      <c r="E223" s="312"/>
      <c r="F223" s="312"/>
      <c r="G223" s="312"/>
      <c r="H223" s="312"/>
      <c r="I223" s="332" t="s">
        <v>610</v>
      </c>
      <c r="J223" s="332" t="s">
        <v>610</v>
      </c>
    </row>
    <row r="224" spans="2:10">
      <c r="C224" s="2" t="s">
        <v>345</v>
      </c>
      <c r="D224" s="2"/>
      <c r="E224" s="2"/>
      <c r="F224" s="312"/>
      <c r="G224" s="312"/>
      <c r="H224" s="312"/>
      <c r="I224" s="331"/>
      <c r="J224" s="331"/>
    </row>
    <row r="225" spans="2:10">
      <c r="C225" s="312" t="s">
        <v>467</v>
      </c>
      <c r="D225" s="312"/>
      <c r="E225" s="312"/>
      <c r="F225" s="312"/>
      <c r="G225" s="312"/>
      <c r="H225" s="312"/>
      <c r="I225" s="332" t="s">
        <v>610</v>
      </c>
      <c r="J225" s="332" t="s">
        <v>610</v>
      </c>
    </row>
    <row r="226" spans="2:10">
      <c r="C226" s="312" t="s">
        <v>468</v>
      </c>
      <c r="D226" s="312"/>
      <c r="E226" s="312"/>
      <c r="F226" s="312"/>
      <c r="G226" s="312"/>
      <c r="H226" s="312"/>
      <c r="I226" s="332" t="s">
        <v>610</v>
      </c>
      <c r="J226" s="332" t="s">
        <v>610</v>
      </c>
    </row>
    <row r="227" spans="2:10">
      <c r="C227" s="312" t="s">
        <v>469</v>
      </c>
      <c r="D227" s="312"/>
      <c r="E227" s="312"/>
      <c r="F227" s="312"/>
      <c r="G227" s="312"/>
      <c r="H227" s="312"/>
      <c r="I227" s="332" t="s">
        <v>610</v>
      </c>
      <c r="J227" s="332" t="s">
        <v>610</v>
      </c>
    </row>
    <row r="228" spans="2:10">
      <c r="C228" s="312" t="s">
        <v>470</v>
      </c>
      <c r="D228" s="312"/>
      <c r="E228" s="312"/>
      <c r="F228" s="312"/>
      <c r="G228" s="312"/>
      <c r="H228" s="312"/>
      <c r="I228" s="332" t="s">
        <v>610</v>
      </c>
      <c r="J228" s="332" t="s">
        <v>610</v>
      </c>
    </row>
    <row r="229" spans="2:10">
      <c r="C229" s="312" t="s">
        <v>116</v>
      </c>
      <c r="D229" s="312"/>
      <c r="E229" s="312"/>
      <c r="F229" s="312"/>
      <c r="G229" s="312"/>
      <c r="H229" s="312"/>
      <c r="I229" s="332" t="s">
        <v>610</v>
      </c>
      <c r="J229" s="332" t="s">
        <v>610</v>
      </c>
    </row>
    <row r="230" spans="2:10">
      <c r="C230" s="301"/>
      <c r="D230" s="301"/>
      <c r="E230" s="301"/>
      <c r="F230" s="312"/>
      <c r="G230" s="312"/>
      <c r="H230" s="312"/>
      <c r="I230" s="331"/>
      <c r="J230" s="331"/>
    </row>
    <row r="231" spans="2:10">
      <c r="B231" s="308" t="s">
        <v>471</v>
      </c>
      <c r="C231" s="2"/>
      <c r="D231" s="2"/>
      <c r="E231" s="2"/>
      <c r="F231" s="312"/>
      <c r="G231" s="312"/>
      <c r="H231" s="312"/>
      <c r="I231" s="331"/>
      <c r="J231" s="331"/>
    </row>
    <row r="232" spans="2:10">
      <c r="C232" s="308" t="s">
        <v>472</v>
      </c>
      <c r="D232" s="2"/>
      <c r="E232" s="2"/>
      <c r="F232" s="312"/>
      <c r="G232" s="312"/>
      <c r="H232" s="312"/>
      <c r="I232" s="364">
        <v>40831</v>
      </c>
      <c r="J232" s="364">
        <v>40847</v>
      </c>
    </row>
    <row r="233" spans="2:10">
      <c r="C233" s="2"/>
      <c r="D233" s="2"/>
      <c r="E233" s="2"/>
      <c r="F233" s="312"/>
      <c r="G233" s="312"/>
      <c r="H233" s="312"/>
      <c r="I233" s="336"/>
      <c r="J233" s="336"/>
    </row>
    <row r="234" spans="2:10">
      <c r="B234" s="308" t="s">
        <v>473</v>
      </c>
      <c r="C234" s="2"/>
      <c r="D234" s="2"/>
      <c r="E234" s="2"/>
      <c r="F234" s="312"/>
      <c r="G234" s="312"/>
      <c r="H234" s="312"/>
      <c r="I234" s="336"/>
      <c r="J234" s="336"/>
    </row>
    <row r="235" spans="2:10">
      <c r="C235" s="2" t="s">
        <v>474</v>
      </c>
      <c r="D235" s="2"/>
      <c r="E235" s="2"/>
      <c r="F235" s="312"/>
      <c r="G235" s="312"/>
      <c r="H235" s="312"/>
      <c r="I235" s="337"/>
      <c r="J235" s="337"/>
    </row>
    <row r="236" spans="2:10">
      <c r="C236" s="312" t="s">
        <v>475</v>
      </c>
      <c r="D236" s="312"/>
      <c r="E236" s="312"/>
      <c r="F236" s="312"/>
      <c r="G236" s="312"/>
      <c r="H236" s="312"/>
      <c r="I236" s="332" t="s">
        <v>610</v>
      </c>
      <c r="J236" s="332" t="s">
        <v>610</v>
      </c>
    </row>
    <row r="237" spans="2:10">
      <c r="C237" s="312" t="s">
        <v>476</v>
      </c>
      <c r="D237" s="312"/>
      <c r="E237" s="312"/>
      <c r="F237" s="312"/>
      <c r="G237" s="312"/>
      <c r="H237" s="312"/>
      <c r="I237" s="332" t="s">
        <v>610</v>
      </c>
      <c r="J237" s="332" t="s">
        <v>610</v>
      </c>
    </row>
    <row r="238" spans="2:10">
      <c r="C238" s="312" t="s">
        <v>477</v>
      </c>
      <c r="D238" s="312"/>
      <c r="E238" s="312"/>
      <c r="F238" s="312"/>
      <c r="G238" s="312"/>
      <c r="H238" s="312"/>
      <c r="I238" s="332" t="s">
        <v>610</v>
      </c>
      <c r="J238" s="332" t="s">
        <v>610</v>
      </c>
    </row>
    <row r="239" spans="2:10">
      <c r="C239" s="350" t="s">
        <v>530</v>
      </c>
      <c r="D239" s="312"/>
      <c r="E239" s="312"/>
      <c r="F239" s="312"/>
      <c r="G239" s="312"/>
      <c r="H239" s="312"/>
      <c r="I239" s="364" t="s">
        <v>610</v>
      </c>
      <c r="J239" s="364" t="s">
        <v>610</v>
      </c>
    </row>
    <row r="240" spans="2:10">
      <c r="C240" s="2"/>
      <c r="D240" s="2"/>
      <c r="E240" s="2"/>
      <c r="F240" s="312"/>
      <c r="G240" s="312"/>
      <c r="H240" s="312"/>
      <c r="I240" s="331"/>
      <c r="J240" s="331"/>
    </row>
    <row r="241" spans="2:10">
      <c r="B241" s="308" t="s">
        <v>478</v>
      </c>
      <c r="C241" s="2"/>
      <c r="D241" s="2"/>
      <c r="E241" s="2"/>
      <c r="F241" s="312"/>
      <c r="G241" s="312"/>
      <c r="H241" s="312"/>
      <c r="I241" s="331"/>
      <c r="J241" s="331"/>
    </row>
    <row r="242" spans="2:10">
      <c r="C242" s="308" t="s">
        <v>479</v>
      </c>
      <c r="D242" s="2"/>
      <c r="E242" s="2"/>
      <c r="F242" s="312"/>
      <c r="G242" s="312"/>
      <c r="H242" s="312"/>
      <c r="I242" s="364">
        <v>40831</v>
      </c>
      <c r="J242" s="364">
        <v>40850</v>
      </c>
    </row>
    <row r="243" spans="2:10">
      <c r="C243" s="308" t="s">
        <v>480</v>
      </c>
      <c r="D243" s="2"/>
      <c r="E243" s="2"/>
      <c r="F243" s="312"/>
      <c r="G243" s="312"/>
      <c r="H243" s="312"/>
      <c r="I243" s="332" t="s">
        <v>610</v>
      </c>
      <c r="J243" s="332" t="s">
        <v>610</v>
      </c>
    </row>
    <row r="244" spans="2:10">
      <c r="C244" s="2" t="s">
        <v>481</v>
      </c>
      <c r="D244" s="2"/>
      <c r="E244" s="2"/>
      <c r="F244" s="312"/>
      <c r="G244" s="312"/>
      <c r="H244" s="312"/>
      <c r="I244" s="364" t="s">
        <v>610</v>
      </c>
      <c r="J244" s="364" t="s">
        <v>14</v>
      </c>
    </row>
    <row r="245" spans="2:10">
      <c r="C245" s="2" t="s">
        <v>482</v>
      </c>
      <c r="D245" s="2"/>
      <c r="E245" s="2"/>
      <c r="F245" s="312"/>
      <c r="G245" s="312"/>
      <c r="H245" s="312"/>
      <c r="I245" s="332" t="s">
        <v>610</v>
      </c>
      <c r="J245" s="332" t="s">
        <v>610</v>
      </c>
    </row>
    <row r="246" spans="2:10">
      <c r="C246" s="2" t="s">
        <v>483</v>
      </c>
      <c r="D246" s="2"/>
      <c r="E246" s="2"/>
      <c r="F246" s="312"/>
      <c r="G246" s="312"/>
      <c r="H246" s="312"/>
      <c r="I246" s="332" t="s">
        <v>611</v>
      </c>
      <c r="J246" s="332" t="s">
        <v>611</v>
      </c>
    </row>
    <row r="247" spans="2:10">
      <c r="C247" s="2" t="s">
        <v>484</v>
      </c>
      <c r="D247" s="2"/>
      <c r="E247" s="2"/>
      <c r="F247" s="312"/>
      <c r="G247" s="312"/>
      <c r="H247" s="312"/>
      <c r="I247" s="332" t="s">
        <v>610</v>
      </c>
      <c r="J247" s="332" t="s">
        <v>610</v>
      </c>
    </row>
    <row r="248" spans="2:10">
      <c r="C248" s="2" t="s">
        <v>485</v>
      </c>
      <c r="D248" s="2"/>
      <c r="E248" s="2"/>
      <c r="F248" s="312"/>
      <c r="G248" s="312"/>
      <c r="H248" s="312"/>
      <c r="I248" s="331"/>
      <c r="J248" s="331"/>
    </row>
    <row r="249" spans="2:10">
      <c r="C249" s="312" t="s">
        <v>486</v>
      </c>
      <c r="D249" s="312"/>
      <c r="E249" s="312"/>
      <c r="F249" s="312"/>
      <c r="G249" s="312"/>
      <c r="H249" s="312"/>
      <c r="I249" s="332" t="s">
        <v>610</v>
      </c>
      <c r="J249" s="332" t="s">
        <v>610</v>
      </c>
    </row>
    <row r="250" spans="2:10">
      <c r="C250" s="315" t="s">
        <v>487</v>
      </c>
      <c r="D250" s="315"/>
      <c r="E250" s="315"/>
      <c r="F250" s="315"/>
      <c r="G250" s="315"/>
      <c r="H250" s="315"/>
      <c r="I250" s="332" t="s">
        <v>610</v>
      </c>
      <c r="J250" s="332" t="s">
        <v>610</v>
      </c>
    </row>
    <row r="251" spans="2:10">
      <c r="C251" s="312" t="s">
        <v>486</v>
      </c>
      <c r="D251" s="312"/>
      <c r="E251" s="312"/>
      <c r="F251" s="312"/>
      <c r="G251" s="312"/>
      <c r="H251" s="312"/>
      <c r="I251" s="332" t="s">
        <v>610</v>
      </c>
      <c r="J251" s="332" t="s">
        <v>610</v>
      </c>
    </row>
    <row r="252" spans="2:10">
      <c r="C252" s="315" t="s">
        <v>488</v>
      </c>
      <c r="D252" s="315"/>
      <c r="E252" s="315"/>
      <c r="F252" s="315"/>
      <c r="G252" s="315"/>
      <c r="H252" s="315"/>
      <c r="I252" s="332" t="s">
        <v>610</v>
      </c>
      <c r="J252" s="332" t="s">
        <v>610</v>
      </c>
    </row>
    <row r="253" spans="2:10">
      <c r="C253" s="312" t="s">
        <v>486</v>
      </c>
      <c r="D253" s="312"/>
      <c r="E253" s="312"/>
      <c r="F253" s="312"/>
      <c r="G253" s="312"/>
      <c r="H253" s="312"/>
      <c r="I253" s="332" t="s">
        <v>610</v>
      </c>
      <c r="J253" s="332" t="s">
        <v>610</v>
      </c>
    </row>
    <row r="254" spans="2:10">
      <c r="C254" s="315" t="s">
        <v>488</v>
      </c>
      <c r="D254" s="315"/>
      <c r="E254" s="315"/>
      <c r="F254" s="315"/>
      <c r="G254" s="315"/>
      <c r="H254" s="315"/>
      <c r="I254" s="332" t="s">
        <v>610</v>
      </c>
      <c r="J254" s="332" t="s">
        <v>610</v>
      </c>
    </row>
    <row r="255" spans="2:10">
      <c r="C255" s="312" t="s">
        <v>486</v>
      </c>
      <c r="D255" s="312"/>
      <c r="E255" s="312"/>
      <c r="F255" s="312"/>
      <c r="G255" s="312"/>
      <c r="H255" s="312"/>
      <c r="I255" s="332" t="s">
        <v>610</v>
      </c>
      <c r="J255" s="332" t="s">
        <v>610</v>
      </c>
    </row>
    <row r="256" spans="2:10">
      <c r="C256" s="315" t="s">
        <v>488</v>
      </c>
      <c r="D256" s="315"/>
      <c r="E256" s="315"/>
      <c r="F256" s="315"/>
      <c r="G256" s="315"/>
      <c r="H256" s="315"/>
      <c r="I256" s="332" t="s">
        <v>610</v>
      </c>
      <c r="J256" s="332" t="s">
        <v>610</v>
      </c>
    </row>
    <row r="257" spans="2:10">
      <c r="C257" s="312" t="s">
        <v>486</v>
      </c>
      <c r="D257" s="312"/>
      <c r="E257" s="312"/>
      <c r="F257" s="312"/>
      <c r="G257" s="312"/>
      <c r="H257" s="312"/>
      <c r="I257" s="332" t="s">
        <v>610</v>
      </c>
      <c r="J257" s="332" t="s">
        <v>610</v>
      </c>
    </row>
    <row r="258" spans="2:10">
      <c r="C258" s="315" t="s">
        <v>488</v>
      </c>
      <c r="D258" s="315"/>
      <c r="E258" s="315"/>
      <c r="F258" s="315"/>
      <c r="G258" s="315"/>
      <c r="H258" s="315"/>
      <c r="I258" s="332" t="s">
        <v>610</v>
      </c>
      <c r="J258" s="332" t="s">
        <v>610</v>
      </c>
    </row>
    <row r="259" spans="2:10">
      <c r="C259" s="312" t="s">
        <v>486</v>
      </c>
      <c r="D259" s="312"/>
      <c r="E259" s="312"/>
      <c r="F259" s="312"/>
      <c r="G259" s="312"/>
      <c r="H259" s="312"/>
      <c r="I259" s="332" t="s">
        <v>610</v>
      </c>
      <c r="J259" s="332" t="s">
        <v>610</v>
      </c>
    </row>
    <row r="260" spans="2:10">
      <c r="B260" s="315" t="s">
        <v>489</v>
      </c>
      <c r="C260" s="315" t="s">
        <v>489</v>
      </c>
      <c r="D260" s="315"/>
      <c r="E260" s="315"/>
      <c r="F260" s="315"/>
      <c r="G260" s="315"/>
      <c r="H260" s="315"/>
      <c r="I260" s="332" t="s">
        <v>610</v>
      </c>
      <c r="J260" s="332" t="s">
        <v>610</v>
      </c>
    </row>
    <row r="261" spans="2:10">
      <c r="C261" s="308" t="s">
        <v>539</v>
      </c>
      <c r="D261" s="2"/>
      <c r="E261" s="2"/>
      <c r="F261" s="312"/>
      <c r="G261" s="312"/>
      <c r="H261" s="312"/>
      <c r="I261" s="364">
        <v>41214</v>
      </c>
      <c r="J261" s="364" t="s">
        <v>14</v>
      </c>
    </row>
    <row r="262" spans="2:10">
      <c r="C262" s="308" t="s">
        <v>490</v>
      </c>
      <c r="D262" s="2"/>
      <c r="E262" s="2"/>
      <c r="F262" s="312"/>
      <c r="G262" s="312"/>
      <c r="H262" s="312"/>
      <c r="I262" s="364">
        <v>41394</v>
      </c>
      <c r="J262" s="364" t="s">
        <v>14</v>
      </c>
    </row>
    <row r="263" spans="2:10">
      <c r="C263" s="2" t="s">
        <v>491</v>
      </c>
      <c r="D263" s="2"/>
      <c r="E263" s="2"/>
      <c r="F263" s="312"/>
      <c r="G263" s="312"/>
      <c r="H263" s="312"/>
      <c r="I263" s="329" t="s">
        <v>14</v>
      </c>
      <c r="J263" s="329" t="s">
        <v>14</v>
      </c>
    </row>
    <row r="264" spans="2:10">
      <c r="C264" s="2"/>
      <c r="D264" s="2"/>
      <c r="E264" s="2"/>
      <c r="F264" s="312"/>
      <c r="G264" s="312"/>
      <c r="H264" s="312"/>
      <c r="I264" s="331"/>
      <c r="J264" s="331"/>
    </row>
    <row r="265" spans="2:10">
      <c r="B265" s="309" t="s">
        <v>492</v>
      </c>
      <c r="C265" s="308"/>
      <c r="D265" s="308"/>
      <c r="E265" s="308"/>
      <c r="F265" s="313"/>
      <c r="G265" s="313"/>
      <c r="H265" s="313"/>
      <c r="I265" s="331"/>
      <c r="J265" s="331"/>
    </row>
    <row r="266" spans="2:10">
      <c r="C266" s="2" t="s">
        <v>493</v>
      </c>
      <c r="D266" s="2"/>
      <c r="E266" s="2"/>
      <c r="F266" s="312"/>
      <c r="G266" s="312"/>
      <c r="H266" s="312"/>
      <c r="I266" s="331"/>
      <c r="J266" s="331"/>
    </row>
    <row r="267" spans="2:10">
      <c r="B267" s="312" t="s">
        <v>494</v>
      </c>
      <c r="C267" s="312" t="s">
        <v>494</v>
      </c>
      <c r="D267" s="312"/>
      <c r="E267" s="312"/>
      <c r="F267" s="312"/>
      <c r="G267" s="312"/>
      <c r="H267" s="312"/>
      <c r="I267" s="332" t="s">
        <v>610</v>
      </c>
      <c r="J267" s="332" t="s">
        <v>610</v>
      </c>
    </row>
    <row r="268" spans="2:10">
      <c r="B268" s="312" t="s">
        <v>495</v>
      </c>
      <c r="C268" s="312" t="s">
        <v>495</v>
      </c>
      <c r="D268" s="312"/>
      <c r="E268" s="312"/>
      <c r="F268" s="312"/>
      <c r="G268" s="312"/>
      <c r="H268" s="312"/>
      <c r="I268" s="332" t="s">
        <v>610</v>
      </c>
      <c r="J268" s="332" t="s">
        <v>610</v>
      </c>
    </row>
    <row r="269" spans="2:10">
      <c r="B269" s="312" t="s">
        <v>496</v>
      </c>
      <c r="C269" s="312" t="s">
        <v>496</v>
      </c>
      <c r="D269" s="312"/>
      <c r="E269" s="312"/>
      <c r="F269" s="312"/>
      <c r="G269" s="312"/>
      <c r="H269" s="312"/>
      <c r="I269" s="332" t="s">
        <v>610</v>
      </c>
      <c r="J269" s="332" t="s">
        <v>610</v>
      </c>
    </row>
    <row r="270" spans="2:10">
      <c r="B270" s="312" t="s">
        <v>497</v>
      </c>
      <c r="C270" s="312" t="s">
        <v>497</v>
      </c>
      <c r="D270" s="312"/>
      <c r="E270" s="312"/>
      <c r="F270" s="312"/>
      <c r="G270" s="312"/>
      <c r="H270" s="312"/>
      <c r="I270" s="332" t="s">
        <v>610</v>
      </c>
      <c r="J270" s="332" t="s">
        <v>610</v>
      </c>
    </row>
    <row r="271" spans="2:10">
      <c r="B271" s="312" t="s">
        <v>498</v>
      </c>
      <c r="C271" s="312" t="s">
        <v>498</v>
      </c>
      <c r="D271" s="312"/>
      <c r="E271" s="312"/>
      <c r="F271" s="312"/>
      <c r="G271" s="312"/>
      <c r="H271" s="312"/>
      <c r="I271" s="332" t="s">
        <v>610</v>
      </c>
      <c r="J271" s="332" t="s">
        <v>610</v>
      </c>
    </row>
    <row r="272" spans="2:10">
      <c r="B272" s="312" t="s">
        <v>499</v>
      </c>
      <c r="C272" s="312" t="s">
        <v>499</v>
      </c>
      <c r="D272" s="312"/>
      <c r="E272" s="312"/>
      <c r="F272" s="312"/>
      <c r="G272" s="312"/>
      <c r="H272" s="312"/>
      <c r="I272" s="332" t="s">
        <v>610</v>
      </c>
      <c r="J272" s="332" t="s">
        <v>610</v>
      </c>
    </row>
    <row r="273" spans="2:10">
      <c r="C273" s="2" t="s">
        <v>500</v>
      </c>
      <c r="D273" s="2"/>
      <c r="E273" s="2"/>
      <c r="F273" s="312"/>
      <c r="G273" s="312"/>
      <c r="H273" s="312"/>
      <c r="I273" s="331"/>
      <c r="J273" s="331"/>
    </row>
    <row r="274" spans="2:10">
      <c r="C274" s="312" t="s">
        <v>494</v>
      </c>
      <c r="D274" s="312"/>
      <c r="E274" s="312"/>
      <c r="F274" s="312"/>
      <c r="G274" s="312"/>
      <c r="H274" s="312"/>
      <c r="I274" s="332" t="s">
        <v>14</v>
      </c>
      <c r="J274" s="332" t="s">
        <v>14</v>
      </c>
    </row>
    <row r="275" spans="2:10">
      <c r="C275" s="312" t="s">
        <v>495</v>
      </c>
      <c r="D275" s="312"/>
      <c r="E275" s="312"/>
      <c r="F275" s="312"/>
      <c r="G275" s="312"/>
      <c r="H275" s="312"/>
      <c r="I275" s="332" t="s">
        <v>14</v>
      </c>
      <c r="J275" s="332" t="s">
        <v>14</v>
      </c>
    </row>
    <row r="276" spans="2:10">
      <c r="C276" s="312" t="s">
        <v>496</v>
      </c>
      <c r="D276" s="312"/>
      <c r="E276" s="312"/>
      <c r="F276" s="312"/>
      <c r="G276" s="312"/>
      <c r="H276" s="312"/>
      <c r="I276" s="332" t="s">
        <v>14</v>
      </c>
      <c r="J276" s="332" t="s">
        <v>14</v>
      </c>
    </row>
    <row r="277" spans="2:10">
      <c r="C277" s="312" t="s">
        <v>497</v>
      </c>
      <c r="D277" s="312"/>
      <c r="E277" s="312"/>
      <c r="F277" s="312"/>
      <c r="G277" s="312"/>
      <c r="H277" s="312"/>
      <c r="I277" s="332" t="s">
        <v>14</v>
      </c>
      <c r="J277" s="332" t="s">
        <v>14</v>
      </c>
    </row>
    <row r="278" spans="2:10">
      <c r="C278" s="312" t="s">
        <v>498</v>
      </c>
      <c r="D278" s="312"/>
      <c r="E278" s="312"/>
      <c r="F278" s="312"/>
      <c r="G278" s="312"/>
      <c r="H278" s="312"/>
      <c r="I278" s="332" t="s">
        <v>14</v>
      </c>
      <c r="J278" s="332" t="s">
        <v>14</v>
      </c>
    </row>
    <row r="279" spans="2:10">
      <c r="C279" s="312" t="s">
        <v>499</v>
      </c>
      <c r="D279" s="312"/>
      <c r="E279" s="312"/>
      <c r="F279" s="312"/>
      <c r="G279" s="312"/>
      <c r="H279" s="312"/>
      <c r="I279" s="332" t="s">
        <v>14</v>
      </c>
      <c r="J279" s="332" t="s">
        <v>14</v>
      </c>
    </row>
    <row r="280" spans="2:10">
      <c r="C280" s="308" t="s">
        <v>541</v>
      </c>
      <c r="D280" s="2"/>
      <c r="E280" s="2"/>
      <c r="F280" s="312"/>
      <c r="G280" s="312"/>
      <c r="H280" s="312"/>
      <c r="I280" s="364">
        <v>41306</v>
      </c>
      <c r="J280" s="364" t="s">
        <v>14</v>
      </c>
    </row>
    <row r="281" spans="2:10">
      <c r="C281" s="2"/>
      <c r="D281" s="2"/>
      <c r="E281" s="2"/>
      <c r="F281" s="312"/>
      <c r="G281" s="312"/>
      <c r="H281" s="312"/>
      <c r="I281" s="331"/>
      <c r="J281" s="331"/>
    </row>
    <row r="282" spans="2:10">
      <c r="B282" s="309" t="s">
        <v>501</v>
      </c>
      <c r="C282" s="308"/>
      <c r="D282" s="308"/>
      <c r="E282" s="308"/>
      <c r="F282" s="312"/>
      <c r="G282" s="312"/>
      <c r="H282" s="312"/>
      <c r="I282" s="331"/>
      <c r="J282" s="331"/>
    </row>
    <row r="283" spans="2:10">
      <c r="C283" s="308" t="s">
        <v>502</v>
      </c>
      <c r="D283" s="2"/>
      <c r="E283" s="2"/>
      <c r="F283" s="312"/>
      <c r="G283" s="312"/>
      <c r="H283" s="312"/>
      <c r="I283" s="364">
        <v>41197</v>
      </c>
      <c r="J283" s="364" t="s">
        <v>14</v>
      </c>
    </row>
    <row r="284" spans="2:10">
      <c r="C284" s="2" t="s">
        <v>503</v>
      </c>
      <c r="D284" s="2"/>
      <c r="E284" s="2"/>
      <c r="F284" s="312"/>
      <c r="G284" s="312"/>
      <c r="H284" s="312"/>
      <c r="I284" s="331"/>
      <c r="J284" s="331"/>
    </row>
    <row r="285" spans="2:10">
      <c r="C285" s="312" t="s">
        <v>342</v>
      </c>
      <c r="D285" s="312"/>
      <c r="E285" s="312"/>
      <c r="F285" s="312"/>
      <c r="G285" s="312"/>
      <c r="H285" s="312"/>
      <c r="I285" s="332" t="s">
        <v>14</v>
      </c>
      <c r="J285" s="332" t="s">
        <v>14</v>
      </c>
    </row>
    <row r="286" spans="2:10">
      <c r="C286" s="312" t="s">
        <v>504</v>
      </c>
      <c r="D286" s="312"/>
      <c r="E286" s="312"/>
      <c r="F286" s="312"/>
      <c r="G286" s="312"/>
      <c r="H286" s="312"/>
      <c r="I286" s="332" t="s">
        <v>611</v>
      </c>
      <c r="J286" s="332" t="s">
        <v>14</v>
      </c>
    </row>
    <row r="287" spans="2:10">
      <c r="C287" s="312" t="s">
        <v>385</v>
      </c>
      <c r="D287" s="312"/>
      <c r="E287" s="312"/>
      <c r="F287" s="312"/>
      <c r="G287" s="312"/>
      <c r="H287" s="312"/>
      <c r="I287" s="332" t="s">
        <v>14</v>
      </c>
      <c r="J287" s="332" t="s">
        <v>14</v>
      </c>
    </row>
    <row r="288" spans="2:10">
      <c r="C288" s="312" t="s">
        <v>505</v>
      </c>
      <c r="D288" s="312"/>
      <c r="E288" s="312"/>
      <c r="F288" s="312"/>
      <c r="G288" s="312"/>
      <c r="H288" s="312"/>
      <c r="I288" s="332" t="s">
        <v>610</v>
      </c>
      <c r="J288" s="332" t="s">
        <v>14</v>
      </c>
    </row>
    <row r="289" spans="2:15">
      <c r="C289" s="312" t="s">
        <v>506</v>
      </c>
      <c r="D289" s="312"/>
      <c r="E289" s="312"/>
      <c r="F289" s="312"/>
      <c r="G289" s="312"/>
      <c r="H289" s="312"/>
      <c r="I289" s="332" t="s">
        <v>14</v>
      </c>
      <c r="J289" s="332" t="s">
        <v>14</v>
      </c>
    </row>
    <row r="290" spans="2:15">
      <c r="C290" s="312" t="s">
        <v>409</v>
      </c>
      <c r="D290" s="312"/>
      <c r="E290" s="312"/>
      <c r="F290" s="312"/>
      <c r="G290" s="312"/>
      <c r="H290" s="312"/>
      <c r="I290" s="331"/>
      <c r="J290" s="331"/>
    </row>
    <row r="291" spans="2:15">
      <c r="C291" s="315" t="s">
        <v>507</v>
      </c>
      <c r="D291" s="315"/>
      <c r="E291" s="315"/>
      <c r="F291" s="315"/>
      <c r="G291" s="315"/>
      <c r="H291" s="315"/>
      <c r="I291" s="332">
        <v>41214</v>
      </c>
      <c r="J291" s="332" t="s">
        <v>14</v>
      </c>
    </row>
    <row r="292" spans="2:15">
      <c r="C292" s="315" t="s">
        <v>508</v>
      </c>
      <c r="D292" s="315"/>
      <c r="E292" s="315"/>
      <c r="F292" s="315"/>
      <c r="G292" s="315"/>
      <c r="H292" s="315"/>
      <c r="I292" s="332">
        <v>41214</v>
      </c>
      <c r="J292" s="332" t="s">
        <v>14</v>
      </c>
    </row>
    <row r="293" spans="2:15">
      <c r="C293" s="315" t="s">
        <v>509</v>
      </c>
      <c r="D293" s="315"/>
      <c r="E293" s="315"/>
      <c r="F293" s="315"/>
      <c r="G293" s="315"/>
      <c r="H293" s="315"/>
      <c r="I293" s="332">
        <v>41214</v>
      </c>
      <c r="J293" s="332" t="s">
        <v>14</v>
      </c>
    </row>
    <row r="294" spans="2:15">
      <c r="C294" s="2"/>
      <c r="D294" s="2"/>
      <c r="E294" s="2"/>
      <c r="F294" s="311"/>
      <c r="G294" s="311"/>
      <c r="H294" s="311"/>
      <c r="I294" s="331"/>
      <c r="J294" s="331"/>
    </row>
    <row r="295" spans="2:15">
      <c r="B295" s="309" t="s">
        <v>501</v>
      </c>
      <c r="C295" s="2"/>
      <c r="D295" s="2"/>
      <c r="E295" s="2"/>
      <c r="F295" s="311"/>
      <c r="G295" s="311"/>
      <c r="H295" s="311"/>
      <c r="I295" s="331"/>
      <c r="J295" s="331"/>
    </row>
    <row r="296" spans="2:15">
      <c r="C296" s="308" t="s">
        <v>510</v>
      </c>
      <c r="D296" s="2"/>
      <c r="E296" s="2"/>
      <c r="F296" s="311"/>
      <c r="G296" s="311"/>
      <c r="H296" s="311"/>
      <c r="I296" s="364">
        <v>41394</v>
      </c>
      <c r="J296" s="364" t="s">
        <v>14</v>
      </c>
    </row>
    <row r="297" spans="2:15">
      <c r="C297" s="308" t="s">
        <v>511</v>
      </c>
      <c r="D297" s="2"/>
      <c r="E297" s="2"/>
      <c r="F297" s="311"/>
      <c r="G297" s="311"/>
      <c r="H297" s="311"/>
      <c r="I297" s="364">
        <v>41394</v>
      </c>
      <c r="J297" s="364" t="s">
        <v>14</v>
      </c>
    </row>
    <row r="298" spans="2:15">
      <c r="C298" s="2"/>
      <c r="D298" s="2"/>
      <c r="E298" s="2"/>
      <c r="F298" s="2"/>
      <c r="G298" s="2"/>
      <c r="H298" s="2"/>
      <c r="I298" s="2"/>
      <c r="J298" s="7"/>
      <c r="K298" s="2"/>
      <c r="L298" s="2"/>
      <c r="M298" s="301"/>
      <c r="N298" s="2"/>
      <c r="O298" s="301"/>
    </row>
  </sheetData>
  <sheetProtection selectLockedCells="1"/>
  <mergeCells count="109">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46:D46"/>
    <mergeCell ref="H46:M46"/>
    <mergeCell ref="C47:D47"/>
    <mergeCell ref="H47:M47"/>
    <mergeCell ref="C48:D48"/>
    <mergeCell ref="H48:M48"/>
    <mergeCell ref="C24:D24"/>
    <mergeCell ref="F24:G24"/>
    <mergeCell ref="K24:M24"/>
    <mergeCell ref="H44:M44"/>
    <mergeCell ref="C45:D45"/>
    <mergeCell ref="H45:M45"/>
    <mergeCell ref="C27:M41"/>
    <mergeCell ref="C52:D52"/>
    <mergeCell ref="H52:M52"/>
    <mergeCell ref="C53:D53"/>
    <mergeCell ref="H53:M53"/>
    <mergeCell ref="C54:D54"/>
    <mergeCell ref="H54:M54"/>
    <mergeCell ref="C49:D49"/>
    <mergeCell ref="H49:M49"/>
    <mergeCell ref="C50:D50"/>
    <mergeCell ref="H50:M50"/>
    <mergeCell ref="C51:D51"/>
    <mergeCell ref="H51:M51"/>
    <mergeCell ref="C58:D58"/>
    <mergeCell ref="H58:M58"/>
    <mergeCell ref="C59:D59"/>
    <mergeCell ref="H59:M59"/>
    <mergeCell ref="C60:D60"/>
    <mergeCell ref="H60:M60"/>
    <mergeCell ref="C55:D55"/>
    <mergeCell ref="H55:M55"/>
    <mergeCell ref="C56:D56"/>
    <mergeCell ref="H56:M56"/>
    <mergeCell ref="C57:D57"/>
    <mergeCell ref="H57:M57"/>
    <mergeCell ref="I72:J72"/>
    <mergeCell ref="C64:D64"/>
    <mergeCell ref="H64:M64"/>
    <mergeCell ref="C65:D65"/>
    <mergeCell ref="H65:M65"/>
    <mergeCell ref="I70:J70"/>
    <mergeCell ref="I71:J71"/>
    <mergeCell ref="C61:D61"/>
    <mergeCell ref="H61:M61"/>
    <mergeCell ref="C62:D62"/>
    <mergeCell ref="H62:M62"/>
    <mergeCell ref="C63:D63"/>
    <mergeCell ref="H63:M63"/>
  </mergeCells>
  <hyperlinks>
    <hyperlink ref="E63" location="'Grayslake Cap Installments'!A1" display="Click here for list of requirements" xr:uid="{00000000-0004-0000-0C00-000000000000}"/>
  </hyperlinks>
  <pageMargins left="0.32" right="0.16" top="0.52" bottom="0.36" header="0.19" footer="0.16"/>
  <pageSetup scale="85" orientation="portrait" r:id="rId1"/>
  <headerFooter>
    <oddHeader>&amp;C&amp;"-,Bold"&amp;16PROJECT SUMMARY SHEET</oddHeader>
  </headerFooter>
  <rowBreaks count="1" manualBreakCount="1">
    <brk id="4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3F52B"/>
  </sheetPr>
  <dimension ref="A1:K27"/>
  <sheetViews>
    <sheetView workbookViewId="0">
      <selection activeCell="M15" sqref="M15"/>
    </sheetView>
  </sheetViews>
  <sheetFormatPr baseColWidth="10" defaultColWidth="9.1640625" defaultRowHeight="15"/>
  <cols>
    <col min="1" max="1" width="5" style="2" customWidth="1"/>
    <col min="2" max="2" width="8.1640625" style="2" customWidth="1"/>
    <col min="3" max="3" width="7.5" style="2" customWidth="1"/>
    <col min="4" max="4" width="11" style="584" customWidth="1"/>
    <col min="5" max="5" width="9.1640625" style="585"/>
    <col min="6" max="6" width="10.5" style="584" customWidth="1"/>
    <col min="7" max="16384" width="9.1640625" style="2"/>
  </cols>
  <sheetData>
    <row r="1" spans="1:11">
      <c r="A1" s="575" t="s">
        <v>4</v>
      </c>
      <c r="D1" s="576" t="s">
        <v>629</v>
      </c>
      <c r="E1" s="577" t="s">
        <v>630</v>
      </c>
      <c r="F1" s="576" t="s">
        <v>631</v>
      </c>
    </row>
    <row r="2" spans="1:11">
      <c r="A2" s="578" t="s">
        <v>632</v>
      </c>
      <c r="B2" s="578"/>
      <c r="C2" s="578"/>
      <c r="D2" s="579">
        <v>599488</v>
      </c>
      <c r="E2" s="580">
        <v>0.5</v>
      </c>
      <c r="F2" s="579">
        <f>D2*E2</f>
        <v>299744</v>
      </c>
    </row>
    <row r="3" spans="1:11" s="7" customFormat="1">
      <c r="A3" s="581"/>
      <c r="B3" s="581" t="s">
        <v>633</v>
      </c>
      <c r="C3" s="581"/>
      <c r="D3" s="582"/>
      <c r="E3" s="583"/>
      <c r="F3" s="582"/>
    </row>
    <row r="4" spans="1:11">
      <c r="B4" s="575" t="s">
        <v>634</v>
      </c>
    </row>
    <row r="5" spans="1:11">
      <c r="B5" s="575"/>
      <c r="C5" s="586" t="s">
        <v>635</v>
      </c>
      <c r="D5" s="587">
        <v>297146</v>
      </c>
    </row>
    <row r="6" spans="1:11">
      <c r="B6" s="588" t="s">
        <v>636</v>
      </c>
      <c r="C6" s="839" t="s">
        <v>637</v>
      </c>
      <c r="D6" s="839"/>
      <c r="E6" s="839"/>
      <c r="F6" s="839"/>
      <c r="G6" s="839"/>
      <c r="H6" s="839"/>
      <c r="I6" s="839"/>
      <c r="J6" s="839"/>
      <c r="K6" s="839"/>
    </row>
    <row r="7" spans="1:11">
      <c r="B7" s="588" t="s">
        <v>638</v>
      </c>
      <c r="C7" s="839" t="s">
        <v>639</v>
      </c>
      <c r="D7" s="839"/>
      <c r="E7" s="839"/>
      <c r="F7" s="839"/>
      <c r="G7" s="839"/>
      <c r="H7" s="839"/>
      <c r="I7" s="839"/>
      <c r="J7" s="839"/>
      <c r="K7" s="839"/>
    </row>
    <row r="8" spans="1:11">
      <c r="B8" s="588" t="s">
        <v>640</v>
      </c>
      <c r="C8" s="839" t="s">
        <v>641</v>
      </c>
      <c r="D8" s="839"/>
      <c r="E8" s="839"/>
      <c r="F8" s="839"/>
      <c r="G8" s="839"/>
      <c r="H8" s="839"/>
      <c r="I8" s="839"/>
      <c r="J8" s="839"/>
      <c r="K8" s="839"/>
    </row>
    <row r="9" spans="1:11">
      <c r="B9" s="588" t="s">
        <v>642</v>
      </c>
      <c r="C9" s="839" t="s">
        <v>643</v>
      </c>
      <c r="D9" s="839"/>
      <c r="E9" s="839"/>
      <c r="F9" s="839"/>
      <c r="G9" s="839"/>
      <c r="H9" s="839"/>
      <c r="I9" s="839"/>
      <c r="J9" s="839"/>
      <c r="K9" s="839"/>
    </row>
    <row r="10" spans="1:11">
      <c r="B10" s="588" t="s">
        <v>644</v>
      </c>
      <c r="C10" s="839" t="s">
        <v>645</v>
      </c>
      <c r="D10" s="839"/>
      <c r="E10" s="839"/>
      <c r="F10" s="839"/>
      <c r="G10" s="839"/>
      <c r="H10" s="839"/>
      <c r="I10" s="839"/>
      <c r="J10" s="839"/>
      <c r="K10" s="839"/>
    </row>
    <row r="11" spans="1:11">
      <c r="B11" s="588" t="s">
        <v>646</v>
      </c>
      <c r="C11" s="839" t="s">
        <v>647</v>
      </c>
      <c r="D11" s="839"/>
      <c r="E11" s="839"/>
      <c r="F11" s="839"/>
      <c r="G11" s="839"/>
      <c r="H11" s="839"/>
      <c r="I11" s="839"/>
      <c r="J11" s="839"/>
      <c r="K11" s="839"/>
    </row>
    <row r="12" spans="1:11">
      <c r="B12" s="588" t="s">
        <v>648</v>
      </c>
      <c r="C12" s="839" t="s">
        <v>649</v>
      </c>
      <c r="D12" s="839"/>
      <c r="E12" s="839"/>
      <c r="F12" s="839"/>
      <c r="G12" s="839"/>
      <c r="H12" s="839"/>
      <c r="I12" s="839"/>
      <c r="J12" s="839"/>
      <c r="K12" s="839"/>
    </row>
    <row r="13" spans="1:11">
      <c r="B13" s="588" t="s">
        <v>650</v>
      </c>
      <c r="C13" s="839" t="s">
        <v>651</v>
      </c>
      <c r="D13" s="839"/>
      <c r="E13" s="839"/>
      <c r="F13" s="839"/>
      <c r="G13" s="839"/>
      <c r="H13" s="839"/>
      <c r="I13" s="839"/>
      <c r="J13" s="839"/>
      <c r="K13" s="839"/>
    </row>
    <row r="14" spans="1:11" ht="30.75" customHeight="1">
      <c r="B14" s="588" t="s">
        <v>652</v>
      </c>
      <c r="C14" s="839" t="s">
        <v>653</v>
      </c>
      <c r="D14" s="839"/>
      <c r="E14" s="839"/>
      <c r="F14" s="839"/>
      <c r="G14" s="839"/>
      <c r="H14" s="839"/>
      <c r="I14" s="839"/>
      <c r="J14" s="839"/>
      <c r="K14" s="839"/>
    </row>
    <row r="15" spans="1:11">
      <c r="B15" s="588" t="s">
        <v>654</v>
      </c>
      <c r="C15" s="839" t="s">
        <v>655</v>
      </c>
      <c r="D15" s="839"/>
      <c r="E15" s="839"/>
      <c r="F15" s="839"/>
      <c r="G15" s="839"/>
      <c r="H15" s="839"/>
      <c r="I15" s="839"/>
      <c r="J15" s="839"/>
      <c r="K15" s="839"/>
    </row>
    <row r="16" spans="1:11">
      <c r="B16" s="588" t="s">
        <v>656</v>
      </c>
      <c r="C16" s="839" t="s">
        <v>657</v>
      </c>
      <c r="D16" s="839"/>
      <c r="E16" s="839"/>
      <c r="F16" s="839"/>
      <c r="G16" s="839"/>
      <c r="H16" s="839"/>
      <c r="I16" s="839"/>
      <c r="J16" s="839"/>
      <c r="K16" s="839"/>
    </row>
    <row r="17" spans="2:11">
      <c r="B17" s="588" t="s">
        <v>658</v>
      </c>
      <c r="C17" s="839" t="s">
        <v>659</v>
      </c>
      <c r="D17" s="839"/>
      <c r="E17" s="839"/>
      <c r="F17" s="839"/>
      <c r="G17" s="839"/>
      <c r="H17" s="839"/>
      <c r="I17" s="839"/>
      <c r="J17" s="839"/>
      <c r="K17" s="839"/>
    </row>
    <row r="18" spans="2:11">
      <c r="B18" s="588" t="s">
        <v>660</v>
      </c>
      <c r="C18" s="839" t="s">
        <v>661</v>
      </c>
      <c r="D18" s="839"/>
      <c r="E18" s="839"/>
      <c r="F18" s="839"/>
      <c r="G18" s="839"/>
      <c r="H18" s="839"/>
      <c r="I18" s="839"/>
      <c r="J18" s="839"/>
      <c r="K18" s="839"/>
    </row>
    <row r="19" spans="2:11">
      <c r="B19" s="588" t="s">
        <v>662</v>
      </c>
      <c r="C19" s="839" t="s">
        <v>663</v>
      </c>
      <c r="D19" s="839"/>
      <c r="E19" s="839"/>
      <c r="F19" s="839"/>
      <c r="G19" s="839"/>
      <c r="H19" s="839"/>
      <c r="I19" s="839"/>
      <c r="J19" s="839"/>
      <c r="K19" s="839"/>
    </row>
    <row r="20" spans="2:11">
      <c r="B20" s="588" t="s">
        <v>664</v>
      </c>
      <c r="C20" s="839" t="s">
        <v>665</v>
      </c>
      <c r="D20" s="839"/>
      <c r="E20" s="839"/>
      <c r="F20" s="839"/>
      <c r="G20" s="839"/>
      <c r="H20" s="839"/>
      <c r="I20" s="839"/>
      <c r="J20" s="839"/>
      <c r="K20" s="839"/>
    </row>
    <row r="21" spans="2:11">
      <c r="B21" s="301"/>
    </row>
    <row r="22" spans="2:11">
      <c r="B22" s="575" t="s">
        <v>666</v>
      </c>
    </row>
    <row r="23" spans="2:11">
      <c r="B23" s="301"/>
      <c r="C23" s="586" t="s">
        <v>635</v>
      </c>
      <c r="D23" s="587">
        <v>302342</v>
      </c>
    </row>
    <row r="24" spans="2:11" ht="29.25" customHeight="1">
      <c r="B24" s="588" t="s">
        <v>636</v>
      </c>
      <c r="C24" s="839" t="s">
        <v>667</v>
      </c>
      <c r="D24" s="839"/>
      <c r="E24" s="839"/>
      <c r="F24" s="839"/>
      <c r="G24" s="839"/>
      <c r="H24" s="839"/>
      <c r="I24" s="839"/>
      <c r="J24" s="839"/>
      <c r="K24" s="839"/>
    </row>
    <row r="25" spans="2:11" ht="30" customHeight="1">
      <c r="B25" s="588" t="s">
        <v>638</v>
      </c>
      <c r="C25" s="839" t="s">
        <v>668</v>
      </c>
      <c r="D25" s="839"/>
      <c r="E25" s="839"/>
      <c r="F25" s="839"/>
      <c r="G25" s="839"/>
      <c r="H25" s="839"/>
      <c r="I25" s="839"/>
      <c r="J25" s="839"/>
      <c r="K25" s="839"/>
    </row>
    <row r="26" spans="2:11">
      <c r="B26" s="588" t="s">
        <v>640</v>
      </c>
      <c r="C26" s="839" t="s">
        <v>663</v>
      </c>
      <c r="D26" s="839"/>
      <c r="E26" s="839"/>
      <c r="F26" s="839"/>
      <c r="G26" s="839"/>
      <c r="H26" s="839"/>
      <c r="I26" s="839"/>
      <c r="J26" s="839"/>
      <c r="K26" s="839"/>
    </row>
    <row r="27" spans="2:11">
      <c r="B27" s="588" t="s">
        <v>642</v>
      </c>
      <c r="C27" s="839" t="s">
        <v>665</v>
      </c>
      <c r="D27" s="839"/>
      <c r="E27" s="839"/>
      <c r="F27" s="839"/>
      <c r="G27" s="839"/>
      <c r="H27" s="839"/>
      <c r="I27" s="839"/>
      <c r="J27" s="839"/>
      <c r="K27" s="839"/>
    </row>
  </sheetData>
  <mergeCells count="19">
    <mergeCell ref="C17:K17"/>
    <mergeCell ref="C6:K6"/>
    <mergeCell ref="C7:K7"/>
    <mergeCell ref="C8:K8"/>
    <mergeCell ref="C9:K9"/>
    <mergeCell ref="C10:K10"/>
    <mergeCell ref="C11:K11"/>
    <mergeCell ref="C12:K12"/>
    <mergeCell ref="C13:K13"/>
    <mergeCell ref="C14:K14"/>
    <mergeCell ref="C15:K15"/>
    <mergeCell ref="C16:K16"/>
    <mergeCell ref="C27:K27"/>
    <mergeCell ref="C18:K18"/>
    <mergeCell ref="C19:K19"/>
    <mergeCell ref="C20:K20"/>
    <mergeCell ref="C24:K24"/>
    <mergeCell ref="C25:K25"/>
    <mergeCell ref="C26:K26"/>
  </mergeCells>
  <pageMargins left="0.17" right="0.16"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6">
    <tabColor rgb="FF00B0F0"/>
  </sheetPr>
  <dimension ref="B1:U291"/>
  <sheetViews>
    <sheetView topLeftCell="A267" workbookViewId="0">
      <selection activeCell="X298" sqref="X298"/>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Detail!A29</f>
        <v>Milwaukee - Johnston Center</v>
      </c>
      <c r="D2" s="341"/>
      <c r="E2" s="341"/>
      <c r="F2" s="120"/>
      <c r="G2" s="120"/>
      <c r="H2" s="120"/>
      <c r="I2" s="120"/>
      <c r="J2" s="120"/>
      <c r="K2" s="120"/>
      <c r="L2" s="120"/>
      <c r="M2" s="121"/>
      <c r="N2" s="319"/>
    </row>
    <row r="3" spans="2:21" s="122" customFormat="1" ht="20.25" customHeight="1" thickBot="1">
      <c r="B3" s="319"/>
      <c r="C3" s="136" t="str">
        <f>Detail!B29</f>
        <v>D Lyon</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Detail!V29</f>
        <v>Special Needs (PSH)</v>
      </c>
      <c r="G6" s="836"/>
      <c r="H6" s="357"/>
      <c r="I6" s="833" t="s">
        <v>219</v>
      </c>
      <c r="J6" s="834"/>
      <c r="K6" s="834"/>
      <c r="L6" s="837" t="str">
        <f>Detail!I29</f>
        <v>LIHTC - 9%</v>
      </c>
      <c r="M6" s="838"/>
      <c r="N6" s="318"/>
    </row>
    <row r="7" spans="2:21" ht="17.25" customHeight="1">
      <c r="B7" s="318"/>
      <c r="C7" s="796" t="s">
        <v>214</v>
      </c>
      <c r="D7" s="797"/>
      <c r="E7" s="352"/>
      <c r="F7" s="819" t="str">
        <f>Detail!C29</f>
        <v>Milwaukee</v>
      </c>
      <c r="G7" s="820"/>
      <c r="H7" s="357"/>
      <c r="I7" s="796" t="s">
        <v>183</v>
      </c>
      <c r="J7" s="797"/>
      <c r="K7" s="797"/>
      <c r="L7" s="830" t="str">
        <f>Detail!J29</f>
        <v>TCAP</v>
      </c>
      <c r="M7" s="831"/>
      <c r="N7" s="318"/>
    </row>
    <row r="8" spans="2:21">
      <c r="B8" s="318"/>
      <c r="C8" s="796" t="s">
        <v>9</v>
      </c>
      <c r="D8" s="797"/>
      <c r="E8" s="352"/>
      <c r="F8" s="819" t="str">
        <f>Detail!D29</f>
        <v>Adaptive/ Rehab</v>
      </c>
      <c r="G8" s="820"/>
      <c r="H8" s="357"/>
      <c r="I8" s="796" t="s">
        <v>184</v>
      </c>
      <c r="J8" s="797"/>
      <c r="K8" s="797"/>
      <c r="L8" s="830" t="str">
        <f>Detail!K29</f>
        <v>AHP</v>
      </c>
      <c r="M8" s="831"/>
      <c r="N8" s="318"/>
    </row>
    <row r="9" spans="2:21" ht="34.5" customHeight="1">
      <c r="B9" s="318"/>
      <c r="C9" s="796" t="s">
        <v>215</v>
      </c>
      <c r="D9" s="797"/>
      <c r="E9" s="353"/>
      <c r="F9" s="832">
        <f>Detail!T29</f>
        <v>91</v>
      </c>
      <c r="G9" s="820"/>
      <c r="H9" s="357"/>
      <c r="I9" s="796" t="s">
        <v>185</v>
      </c>
      <c r="J9" s="797"/>
      <c r="K9" s="797"/>
      <c r="L9" s="830" t="str">
        <f>Detail!L29</f>
        <v>Local: City/County Funding</v>
      </c>
      <c r="M9" s="831"/>
      <c r="N9" s="318"/>
    </row>
    <row r="10" spans="2:21" ht="17.25" customHeight="1">
      <c r="B10" s="318"/>
      <c r="C10" s="796" t="s">
        <v>216</v>
      </c>
      <c r="D10" s="797"/>
      <c r="E10" s="352"/>
      <c r="F10" s="819" t="str">
        <f>Detail!V29</f>
        <v>Special Needs (PSH)</v>
      </c>
      <c r="G10" s="820"/>
      <c r="H10" s="357"/>
      <c r="I10" s="796" t="s">
        <v>44</v>
      </c>
      <c r="J10" s="797"/>
      <c r="K10" s="797"/>
      <c r="L10" s="800">
        <f>Detail!AB29</f>
        <v>13848000</v>
      </c>
      <c r="M10" s="801"/>
      <c r="N10" s="318"/>
    </row>
    <row r="11" spans="2:21" ht="17.25" customHeight="1">
      <c r="B11" s="318"/>
      <c r="C11" s="361"/>
      <c r="D11" s="362"/>
      <c r="E11" s="352"/>
      <c r="F11" s="819" t="str">
        <f>Detail!W29</f>
        <v>Homeless</v>
      </c>
      <c r="G11" s="820"/>
      <c r="H11" s="357"/>
      <c r="I11" s="796" t="s">
        <v>602</v>
      </c>
      <c r="J11" s="797"/>
      <c r="K11" s="512"/>
      <c r="L11" s="828" t="str">
        <f>Detail!AG29</f>
        <v>US Bank</v>
      </c>
      <c r="M11" s="829"/>
      <c r="N11" s="318"/>
    </row>
    <row r="12" spans="2:21">
      <c r="B12" s="318"/>
      <c r="C12" s="361"/>
      <c r="D12" s="362"/>
      <c r="E12" s="352"/>
      <c r="F12" s="819" t="str">
        <f>Detail!X29</f>
        <v>Dual Diagnosis</v>
      </c>
      <c r="G12" s="820"/>
      <c r="H12" s="357"/>
      <c r="I12" s="796" t="s">
        <v>603</v>
      </c>
      <c r="J12" s="797"/>
      <c r="K12" s="797"/>
      <c r="L12" s="828">
        <f>Detail!N29</f>
        <v>2009</v>
      </c>
      <c r="M12" s="829"/>
      <c r="N12" s="318"/>
    </row>
    <row r="13" spans="2:21" ht="17.25" customHeight="1">
      <c r="B13" s="318"/>
      <c r="C13" s="796" t="s">
        <v>525</v>
      </c>
      <c r="D13" s="797"/>
      <c r="E13" s="354"/>
      <c r="F13" s="827" t="str">
        <f>Detail!AM29</f>
        <v>MHMG</v>
      </c>
      <c r="G13" s="820"/>
      <c r="H13" s="357"/>
      <c r="I13" s="796" t="s">
        <v>256</v>
      </c>
      <c r="J13" s="797"/>
      <c r="K13" s="797"/>
      <c r="L13" s="800">
        <f>Detail!AC29</f>
        <v>13750000</v>
      </c>
      <c r="M13" s="801"/>
      <c r="N13" s="318"/>
    </row>
    <row r="14" spans="2:21" ht="17.25" customHeight="1">
      <c r="B14" s="318"/>
      <c r="C14" s="796" t="s">
        <v>172</v>
      </c>
      <c r="D14" s="797"/>
      <c r="E14" s="352"/>
      <c r="F14" s="819" t="str">
        <f>Detail!Z29</f>
        <v>Case Management - 3rd party</v>
      </c>
      <c r="G14" s="820"/>
      <c r="H14" s="357"/>
      <c r="I14" s="796" t="s">
        <v>257</v>
      </c>
      <c r="J14" s="797"/>
      <c r="K14" s="797"/>
      <c r="L14" s="800">
        <f>Detail!AF29</f>
        <v>9486600</v>
      </c>
      <c r="M14" s="801"/>
      <c r="N14" s="318"/>
    </row>
    <row r="15" spans="2:21" ht="17.25" customHeight="1" thickBot="1">
      <c r="B15" s="318"/>
      <c r="C15" s="796" t="s">
        <v>217</v>
      </c>
      <c r="D15" s="797"/>
      <c r="E15" s="355"/>
      <c r="F15" s="819" t="str">
        <f>Detail!AA29</f>
        <v>Government Contracts</v>
      </c>
      <c r="G15" s="820"/>
      <c r="H15" s="357"/>
      <c r="I15" s="821" t="s">
        <v>255</v>
      </c>
      <c r="J15" s="822"/>
      <c r="K15" s="822"/>
      <c r="L15" s="823">
        <f>Detail!AD29</f>
        <v>1375000</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Detail!AH29</f>
        <v>1436566.7356179999</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Detail!AJ29</f>
        <v>1436566.7356179999</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Detail!AI29</f>
        <v>0</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33.75" customHeight="1" thickTop="1">
      <c r="B21" s="320"/>
      <c r="C21" s="804" t="s">
        <v>46</v>
      </c>
      <c r="D21" s="805"/>
      <c r="E21" s="349"/>
      <c r="F21" s="806" t="str">
        <f>Detail!F29</f>
        <v>Operations - Sub Phase Close Out</v>
      </c>
      <c r="G21" s="807"/>
      <c r="H21" s="359"/>
      <c r="I21" s="804" t="s">
        <v>226</v>
      </c>
      <c r="J21" s="805"/>
      <c r="K21" s="805"/>
      <c r="L21" s="808">
        <f>Detail!Q29</f>
        <v>1</v>
      </c>
      <c r="M21" s="809"/>
      <c r="N21" s="320"/>
    </row>
    <row r="22" spans="2:21" s="88" customFormat="1" ht="17.25" customHeight="1">
      <c r="B22" s="320"/>
      <c r="C22" s="796" t="s">
        <v>223</v>
      </c>
      <c r="D22" s="797"/>
      <c r="E22" s="348"/>
      <c r="F22" s="798">
        <f>Detail!P29</f>
        <v>40148</v>
      </c>
      <c r="G22" s="799"/>
      <c r="H22" s="359"/>
      <c r="I22" s="796" t="s">
        <v>227</v>
      </c>
      <c r="J22" s="797"/>
      <c r="K22" s="797"/>
      <c r="L22" s="800">
        <f>Detail!AO29+Detail!AP29+Detail!AQ29+Detail!AR29</f>
        <v>1130629.9822529999</v>
      </c>
      <c r="M22" s="801"/>
      <c r="N22" s="320"/>
    </row>
    <row r="23" spans="2:21" s="88" customFormat="1" ht="17.25" customHeight="1">
      <c r="B23" s="320"/>
      <c r="C23" s="796" t="s">
        <v>224</v>
      </c>
      <c r="D23" s="797"/>
      <c r="E23" s="348"/>
      <c r="F23" s="798">
        <f>Detail!R29</f>
        <v>40118</v>
      </c>
      <c r="G23" s="799"/>
      <c r="H23" s="359"/>
      <c r="I23" s="796" t="s">
        <v>228</v>
      </c>
      <c r="J23" s="797"/>
      <c r="K23" s="797"/>
      <c r="L23" s="800">
        <f>Detail!BG29</f>
        <v>307201</v>
      </c>
      <c r="M23" s="801"/>
      <c r="N23" s="320"/>
    </row>
    <row r="24" spans="2:21" s="88" customFormat="1" ht="17.25" customHeight="1" thickBot="1">
      <c r="B24" s="320"/>
      <c r="C24" s="778" t="s">
        <v>225</v>
      </c>
      <c r="D24" s="779"/>
      <c r="E24" s="513"/>
      <c r="F24" s="780">
        <f>Detail!S29</f>
        <v>40452</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Milwaukee - Johnston Center</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ht="14">
      <c r="B38" s="322"/>
      <c r="C38" s="792" t="s">
        <v>514</v>
      </c>
      <c r="D38" s="793"/>
      <c r="E38" s="344"/>
      <c r="F38" s="368">
        <f>I92</f>
        <v>39532</v>
      </c>
      <c r="G38" s="368">
        <f>J92</f>
        <v>39532</v>
      </c>
      <c r="H38" s="794"/>
      <c r="I38" s="794"/>
      <c r="J38" s="794"/>
      <c r="K38" s="794"/>
      <c r="L38" s="794"/>
      <c r="M38" s="795"/>
      <c r="N38" s="322"/>
    </row>
    <row r="39" spans="2:19" s="300" customFormat="1" ht="12.75" customHeight="1">
      <c r="B39" s="322"/>
      <c r="C39" s="774" t="s">
        <v>516</v>
      </c>
      <c r="D39" s="775"/>
      <c r="E39" s="514"/>
      <c r="F39" s="368">
        <f>I94</f>
        <v>39556</v>
      </c>
      <c r="G39" s="369">
        <f>J94</f>
        <v>39556</v>
      </c>
      <c r="H39" s="772"/>
      <c r="I39" s="772"/>
      <c r="J39" s="772"/>
      <c r="K39" s="772"/>
      <c r="L39" s="772"/>
      <c r="M39" s="773"/>
      <c r="N39" s="322"/>
    </row>
    <row r="40" spans="2:19" s="300" customFormat="1" ht="14">
      <c r="B40" s="322"/>
      <c r="C40" s="774" t="s">
        <v>344</v>
      </c>
      <c r="D40" s="775"/>
      <c r="E40" s="514"/>
      <c r="F40" s="368">
        <f>I96</f>
        <v>39904</v>
      </c>
      <c r="G40" s="368">
        <f>J96</f>
        <v>39904</v>
      </c>
      <c r="H40" s="772"/>
      <c r="I40" s="772"/>
      <c r="J40" s="772"/>
      <c r="K40" s="772"/>
      <c r="L40" s="772"/>
      <c r="M40" s="773"/>
      <c r="N40" s="322"/>
    </row>
    <row r="41" spans="2:19" s="300" customFormat="1" ht="12.75" customHeight="1">
      <c r="B41" s="322"/>
      <c r="C41" s="774" t="s">
        <v>535</v>
      </c>
      <c r="D41" s="775"/>
      <c r="E41" s="514"/>
      <c r="F41" s="368">
        <f>'MKE - Johnston Center'!I102</f>
        <v>39846</v>
      </c>
      <c r="G41" s="368">
        <f>J102</f>
        <v>39846</v>
      </c>
      <c r="H41" s="772"/>
      <c r="I41" s="772"/>
      <c r="J41" s="772"/>
      <c r="K41" s="772"/>
      <c r="L41" s="772"/>
      <c r="M41" s="773"/>
      <c r="N41" s="322"/>
      <c r="P41" s="358"/>
      <c r="Q41" s="358"/>
      <c r="R41" s="358"/>
      <c r="S41" s="358"/>
    </row>
    <row r="42" spans="2:19" s="300" customFormat="1" ht="14">
      <c r="B42" s="322"/>
      <c r="C42" s="774" t="s">
        <v>536</v>
      </c>
      <c r="D42" s="775"/>
      <c r="E42" s="514"/>
      <c r="F42" s="368">
        <f>I110</f>
        <v>40422</v>
      </c>
      <c r="G42" s="368">
        <f>J110</f>
        <v>40422</v>
      </c>
      <c r="H42" s="772"/>
      <c r="I42" s="772"/>
      <c r="J42" s="772"/>
      <c r="K42" s="772"/>
      <c r="L42" s="772"/>
      <c r="M42" s="773"/>
      <c r="N42" s="322"/>
      <c r="P42" s="358"/>
      <c r="Q42" s="358"/>
      <c r="R42" s="358"/>
      <c r="S42" s="358"/>
    </row>
    <row r="43" spans="2:19" s="300" customFormat="1" ht="14">
      <c r="B43" s="322"/>
      <c r="C43" s="774" t="s">
        <v>517</v>
      </c>
      <c r="D43" s="775"/>
      <c r="E43" s="514"/>
      <c r="F43" s="368">
        <f>I131</f>
        <v>40513</v>
      </c>
      <c r="G43" s="368">
        <f>J131</f>
        <v>40513</v>
      </c>
      <c r="H43" s="772"/>
      <c r="I43" s="772"/>
      <c r="J43" s="772"/>
      <c r="K43" s="772"/>
      <c r="L43" s="772"/>
      <c r="M43" s="773"/>
      <c r="N43" s="322"/>
      <c r="P43" s="358"/>
      <c r="Q43" s="358"/>
      <c r="R43" s="358"/>
      <c r="S43" s="358"/>
    </row>
    <row r="44" spans="2:19" s="300" customFormat="1" ht="14">
      <c r="B44" s="322"/>
      <c r="C44" s="774" t="s">
        <v>537</v>
      </c>
      <c r="D44" s="775"/>
      <c r="E44" s="514"/>
      <c r="F44" s="368">
        <f>I196</f>
        <v>40087</v>
      </c>
      <c r="G44" s="368">
        <f>J196</f>
        <v>40087</v>
      </c>
      <c r="H44" s="772"/>
      <c r="I44" s="772"/>
      <c r="J44" s="772"/>
      <c r="K44" s="772"/>
      <c r="L44" s="772"/>
      <c r="M44" s="773"/>
      <c r="N44" s="322"/>
      <c r="P44" s="358"/>
      <c r="Q44" s="358"/>
      <c r="R44" s="358"/>
      <c r="S44" s="358"/>
    </row>
    <row r="45" spans="2:19" s="300" customFormat="1" ht="14">
      <c r="B45" s="322"/>
      <c r="C45" s="774" t="s">
        <v>519</v>
      </c>
      <c r="D45" s="775"/>
      <c r="E45" s="514"/>
      <c r="F45" s="368">
        <f>I200</f>
        <v>40025</v>
      </c>
      <c r="G45" s="368">
        <f>J200</f>
        <v>40025</v>
      </c>
      <c r="H45" s="772"/>
      <c r="I45" s="772"/>
      <c r="J45" s="772"/>
      <c r="K45" s="772"/>
      <c r="L45" s="772"/>
      <c r="M45" s="773"/>
      <c r="N45" s="322"/>
    </row>
    <row r="46" spans="2:19" s="300" customFormat="1" ht="14">
      <c r="B46" s="322"/>
      <c r="C46" s="774" t="s">
        <v>538</v>
      </c>
      <c r="D46" s="775"/>
      <c r="E46" s="514"/>
      <c r="F46" s="368">
        <f>I232</f>
        <v>40179</v>
      </c>
      <c r="G46" s="368">
        <f>J232</f>
        <v>40179</v>
      </c>
      <c r="H46" s="772"/>
      <c r="I46" s="772"/>
      <c r="J46" s="772"/>
      <c r="K46" s="772"/>
      <c r="L46" s="772"/>
      <c r="M46" s="773"/>
      <c r="N46" s="322"/>
    </row>
    <row r="47" spans="2:19" s="300" customFormat="1" ht="14">
      <c r="B47" s="322"/>
      <c r="C47" s="774" t="s">
        <v>55</v>
      </c>
      <c r="D47" s="775"/>
      <c r="E47" s="514"/>
      <c r="F47" s="368">
        <f>I225</f>
        <v>40169</v>
      </c>
      <c r="G47" s="368">
        <f>J225</f>
        <v>40169</v>
      </c>
      <c r="H47" s="772"/>
      <c r="I47" s="772"/>
      <c r="J47" s="772"/>
      <c r="K47" s="772"/>
      <c r="L47" s="772"/>
      <c r="M47" s="773"/>
      <c r="N47" s="322"/>
    </row>
    <row r="48" spans="2:19" s="300" customFormat="1" ht="14">
      <c r="B48" s="322"/>
      <c r="C48" s="774" t="s">
        <v>346</v>
      </c>
      <c r="D48" s="775"/>
      <c r="E48" s="514"/>
      <c r="F48" s="368">
        <f>I235</f>
        <v>40094</v>
      </c>
      <c r="G48" s="368">
        <f>J235</f>
        <v>40094</v>
      </c>
      <c r="H48" s="772"/>
      <c r="I48" s="772"/>
      <c r="J48" s="772"/>
      <c r="K48" s="772"/>
      <c r="L48" s="772"/>
      <c r="M48" s="773"/>
      <c r="N48" s="322"/>
    </row>
    <row r="49" spans="2:14" s="300" customFormat="1" ht="14">
      <c r="B49" s="322"/>
      <c r="C49" s="774" t="s">
        <v>347</v>
      </c>
      <c r="D49" s="775"/>
      <c r="E49" s="514"/>
      <c r="F49" s="368">
        <f>I237</f>
        <v>40087</v>
      </c>
      <c r="G49" s="368">
        <f>J237</f>
        <v>40087</v>
      </c>
      <c r="H49" s="772"/>
      <c r="I49" s="772"/>
      <c r="J49" s="772"/>
      <c r="K49" s="772"/>
      <c r="L49" s="772"/>
      <c r="M49" s="773"/>
      <c r="N49" s="322"/>
    </row>
    <row r="50" spans="2:14" s="300" customFormat="1">
      <c r="B50" s="322"/>
      <c r="C50" s="774" t="s">
        <v>348</v>
      </c>
      <c r="D50" s="775"/>
      <c r="E50" s="514"/>
      <c r="F50" s="368">
        <f>I254</f>
        <v>40513</v>
      </c>
      <c r="G50" s="368" t="str">
        <f>J254</f>
        <v>TBD</v>
      </c>
      <c r="H50" s="772"/>
      <c r="I50" s="772"/>
      <c r="J50" s="772"/>
      <c r="K50" s="772"/>
      <c r="L50" s="772"/>
      <c r="M50" s="773"/>
      <c r="N50" s="322"/>
    </row>
    <row r="51" spans="2:14" s="300" customFormat="1">
      <c r="B51" s="322"/>
      <c r="C51" s="774" t="s">
        <v>65</v>
      </c>
      <c r="D51" s="775"/>
      <c r="E51" s="514"/>
      <c r="F51" s="368">
        <f>I255</f>
        <v>40544</v>
      </c>
      <c r="G51" s="368" t="str">
        <f>J255</f>
        <v>TBD</v>
      </c>
      <c r="H51" s="772"/>
      <c r="I51" s="772"/>
      <c r="J51" s="772"/>
      <c r="K51" s="772"/>
      <c r="L51" s="772"/>
      <c r="M51" s="773"/>
      <c r="N51" s="322"/>
    </row>
    <row r="52" spans="2:14" s="300" customFormat="1">
      <c r="B52" s="322"/>
      <c r="C52" s="774" t="s">
        <v>540</v>
      </c>
      <c r="D52" s="775"/>
      <c r="E52" s="514"/>
      <c r="F52" s="368">
        <f>I273</f>
        <v>40544</v>
      </c>
      <c r="G52" s="368" t="str">
        <f>J273</f>
        <v>TBD</v>
      </c>
      <c r="H52" s="772"/>
      <c r="I52" s="772"/>
      <c r="J52" s="772"/>
      <c r="K52" s="772"/>
      <c r="L52" s="772"/>
      <c r="M52" s="773"/>
      <c r="N52" s="322"/>
    </row>
    <row r="53" spans="2:14" s="300" customFormat="1">
      <c r="B53" s="322"/>
      <c r="C53" s="774" t="s">
        <v>542</v>
      </c>
      <c r="D53" s="775"/>
      <c r="E53" s="514"/>
      <c r="F53" s="368">
        <f>I276</f>
        <v>40543</v>
      </c>
      <c r="G53" s="368" t="str">
        <f>J276</f>
        <v>TBD</v>
      </c>
      <c r="H53" s="772"/>
      <c r="I53" s="772"/>
      <c r="J53" s="772"/>
      <c r="K53" s="772"/>
      <c r="L53" s="772"/>
      <c r="M53" s="773"/>
      <c r="N53" s="322"/>
    </row>
    <row r="54" spans="2:14" s="300" customFormat="1">
      <c r="B54" s="322"/>
      <c r="C54" s="774">
        <v>8609</v>
      </c>
      <c r="D54" s="775"/>
      <c r="E54" s="514"/>
      <c r="F54" s="368">
        <f>I289</f>
        <v>40634</v>
      </c>
      <c r="G54" s="368" t="str">
        <f>J289</f>
        <v>TBD</v>
      </c>
      <c r="H54" s="772"/>
      <c r="I54" s="772"/>
      <c r="J54" s="772"/>
      <c r="K54" s="772"/>
      <c r="L54" s="772"/>
      <c r="M54" s="773"/>
      <c r="N54" s="322"/>
    </row>
    <row r="55" spans="2:14" s="300" customFormat="1" ht="27.75" customHeight="1">
      <c r="B55" s="322"/>
      <c r="C55" s="774" t="s">
        <v>349</v>
      </c>
      <c r="D55" s="775"/>
      <c r="E55" s="344"/>
      <c r="F55" s="370">
        <f>I290</f>
        <v>40664</v>
      </c>
      <c r="G55" s="371" t="str">
        <f>J290</f>
        <v>TBD</v>
      </c>
      <c r="H55" s="772" t="s">
        <v>606</v>
      </c>
      <c r="I55" s="772"/>
      <c r="J55" s="772"/>
      <c r="K55" s="772"/>
      <c r="L55" s="772"/>
      <c r="M55" s="773"/>
      <c r="N55" s="322"/>
    </row>
    <row r="56" spans="2:14" s="300" customFormat="1" ht="14">
      <c r="B56" s="322"/>
      <c r="C56" s="776" t="s">
        <v>69</v>
      </c>
      <c r="D56" s="777"/>
      <c r="E56" s="515"/>
      <c r="F56" s="338"/>
      <c r="G56" s="338"/>
      <c r="H56" s="772"/>
      <c r="I56" s="772"/>
      <c r="J56" s="772"/>
      <c r="K56" s="772"/>
      <c r="L56" s="772"/>
      <c r="M56" s="773"/>
      <c r="N56" s="322"/>
    </row>
    <row r="57" spans="2:14" s="300" customFormat="1" ht="14">
      <c r="B57" s="322"/>
      <c r="C57" s="770" t="s">
        <v>522</v>
      </c>
      <c r="D57" s="771"/>
      <c r="E57" s="515"/>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Milwaukee - Johnston Center</v>
      </c>
      <c r="J63" s="769"/>
      <c r="K63" s="17"/>
      <c r="L63" s="17"/>
      <c r="M63" s="8"/>
      <c r="N63" s="17"/>
    </row>
    <row r="64" spans="2:14" ht="16" thickBot="1">
      <c r="C64" s="308" t="s">
        <v>351</v>
      </c>
      <c r="D64" s="308"/>
      <c r="E64" s="308"/>
      <c r="F64" s="308"/>
      <c r="H64" s="363"/>
      <c r="I64" s="768" t="str">
        <f>F7</f>
        <v>Milwaukee</v>
      </c>
      <c r="J64" s="769"/>
      <c r="K64" s="17"/>
      <c r="L64" s="17"/>
      <c r="M64" s="8"/>
      <c r="N64" s="17"/>
    </row>
    <row r="65" spans="2:15" ht="16" thickBot="1">
      <c r="C65" s="308" t="s">
        <v>352</v>
      </c>
      <c r="D65" s="308"/>
      <c r="E65" s="308"/>
      <c r="F65" s="308"/>
      <c r="H65" s="363"/>
      <c r="I65" s="768" t="str">
        <f>C3</f>
        <v>D Lyon</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v>39462</v>
      </c>
      <c r="J70" s="332">
        <v>39462</v>
      </c>
    </row>
    <row r="71" spans="2:15">
      <c r="C71" s="2" t="s">
        <v>356</v>
      </c>
      <c r="D71" s="2"/>
      <c r="E71" s="2"/>
      <c r="F71" s="2"/>
      <c r="G71" s="2"/>
      <c r="H71" s="2"/>
      <c r="I71" s="332">
        <v>39462</v>
      </c>
      <c r="J71" s="332">
        <v>39462</v>
      </c>
    </row>
    <row r="72" spans="2:15">
      <c r="C72" s="2" t="s">
        <v>357</v>
      </c>
      <c r="D72" s="2"/>
      <c r="E72" s="2"/>
      <c r="F72" s="2"/>
      <c r="G72" s="2"/>
      <c r="H72" s="2"/>
      <c r="I72" s="332">
        <v>39462</v>
      </c>
      <c r="J72" s="332">
        <v>39462</v>
      </c>
    </row>
    <row r="73" spans="2:15">
      <c r="C73" s="2" t="s">
        <v>358</v>
      </c>
      <c r="D73" s="2"/>
      <c r="E73" s="2"/>
      <c r="F73" s="2"/>
      <c r="G73" s="2"/>
      <c r="H73" s="2"/>
      <c r="I73" s="332">
        <v>39462</v>
      </c>
      <c r="J73" s="332">
        <v>39462</v>
      </c>
    </row>
    <row r="74" spans="2:15">
      <c r="C74" s="312" t="s">
        <v>359</v>
      </c>
      <c r="D74" s="312"/>
      <c r="E74" s="312"/>
      <c r="F74" s="312"/>
      <c r="G74" s="312"/>
      <c r="H74" s="312"/>
      <c r="I74" s="332">
        <v>39462</v>
      </c>
      <c r="J74" s="332">
        <v>40226</v>
      </c>
    </row>
    <row r="75" spans="2:15">
      <c r="C75" s="2" t="s">
        <v>360</v>
      </c>
      <c r="D75" s="2"/>
      <c r="E75" s="2"/>
      <c r="F75" s="312"/>
      <c r="G75" s="312"/>
      <c r="H75" s="312"/>
      <c r="I75" s="332">
        <v>39462</v>
      </c>
      <c r="J75" s="332">
        <v>39462</v>
      </c>
    </row>
    <row r="76" spans="2:15">
      <c r="C76" s="2" t="s">
        <v>361</v>
      </c>
      <c r="D76" s="2"/>
      <c r="E76" s="2"/>
      <c r="F76" s="312"/>
      <c r="G76" s="312"/>
      <c r="H76" s="312"/>
      <c r="I76" s="332">
        <v>39462</v>
      </c>
      <c r="J76" s="332">
        <v>39462</v>
      </c>
    </row>
    <row r="77" spans="2:15">
      <c r="C77" s="2" t="s">
        <v>362</v>
      </c>
      <c r="D77" s="2"/>
      <c r="E77" s="2"/>
      <c r="F77" s="312"/>
      <c r="G77" s="312"/>
      <c r="H77" s="312"/>
      <c r="I77" s="534"/>
      <c r="J77" s="534"/>
    </row>
    <row r="78" spans="2:15">
      <c r="C78" s="312" t="s">
        <v>363</v>
      </c>
      <c r="D78" s="312"/>
      <c r="E78" s="312"/>
      <c r="F78" s="312"/>
      <c r="G78" s="312"/>
      <c r="H78" s="312"/>
      <c r="I78" s="332">
        <v>39462</v>
      </c>
      <c r="J78" s="332">
        <v>39462</v>
      </c>
    </row>
    <row r="79" spans="2:15">
      <c r="C79" s="312" t="s">
        <v>364</v>
      </c>
      <c r="D79" s="312"/>
      <c r="E79" s="312"/>
      <c r="F79" s="312"/>
      <c r="G79" s="312"/>
      <c r="H79" s="312"/>
      <c r="I79" s="332">
        <v>39462</v>
      </c>
      <c r="J79" s="332">
        <v>39462</v>
      </c>
    </row>
    <row r="80" spans="2:15">
      <c r="C80" s="312" t="s">
        <v>365</v>
      </c>
      <c r="D80" s="312"/>
      <c r="E80" s="312"/>
      <c r="F80" s="312"/>
      <c r="G80" s="312"/>
      <c r="H80" s="312"/>
      <c r="I80" s="332">
        <v>39462</v>
      </c>
      <c r="J80" s="332">
        <v>39462</v>
      </c>
    </row>
    <row r="81" spans="2:10">
      <c r="C81" s="315" t="s">
        <v>366</v>
      </c>
      <c r="D81" s="315"/>
      <c r="E81" s="315"/>
      <c r="F81" s="314"/>
      <c r="G81" s="314"/>
      <c r="H81" s="314"/>
      <c r="I81" s="332">
        <v>39462</v>
      </c>
      <c r="J81" s="332">
        <v>39462</v>
      </c>
    </row>
    <row r="82" spans="2:10">
      <c r="C82" s="2" t="s">
        <v>367</v>
      </c>
      <c r="D82" s="2"/>
      <c r="E82" s="2"/>
      <c r="F82" s="312"/>
      <c r="G82" s="312"/>
      <c r="H82" s="312"/>
      <c r="I82" s="534"/>
      <c r="J82" s="534"/>
    </row>
    <row r="83" spans="2:10">
      <c r="C83" s="312" t="s">
        <v>368</v>
      </c>
      <c r="D83" s="312"/>
      <c r="E83" s="312"/>
      <c r="F83" s="312"/>
      <c r="G83" s="312"/>
      <c r="H83" s="312"/>
      <c r="I83" s="332">
        <v>39462</v>
      </c>
      <c r="J83" s="332">
        <v>39462</v>
      </c>
    </row>
    <row r="84" spans="2:10">
      <c r="C84" s="312" t="s">
        <v>369</v>
      </c>
      <c r="D84" s="312"/>
      <c r="E84" s="312"/>
      <c r="F84" s="312"/>
      <c r="G84" s="312"/>
      <c r="H84" s="312"/>
      <c r="I84" s="329">
        <v>39462</v>
      </c>
      <c r="J84" s="332">
        <v>39462</v>
      </c>
    </row>
    <row r="85" spans="2:10">
      <c r="C85" s="312" t="s">
        <v>370</v>
      </c>
      <c r="D85" s="312"/>
      <c r="E85" s="312"/>
      <c r="F85" s="312"/>
      <c r="G85" s="312"/>
      <c r="H85" s="312"/>
      <c r="I85" s="332">
        <v>39462</v>
      </c>
      <c r="J85" s="332">
        <v>39462</v>
      </c>
    </row>
    <row r="86" spans="2:10">
      <c r="C86" s="2" t="s">
        <v>371</v>
      </c>
      <c r="D86" s="2"/>
      <c r="E86" s="2"/>
      <c r="F86" s="312"/>
      <c r="G86" s="312"/>
      <c r="H86" s="312"/>
      <c r="I86" s="332">
        <v>39462</v>
      </c>
      <c r="J86" s="332">
        <v>39462</v>
      </c>
    </row>
    <row r="87" spans="2:10">
      <c r="C87" s="2" t="s">
        <v>372</v>
      </c>
      <c r="D87" s="2"/>
      <c r="E87" s="2"/>
      <c r="F87" s="312"/>
      <c r="G87" s="312"/>
      <c r="H87" s="312"/>
      <c r="I87" s="332">
        <v>39462</v>
      </c>
      <c r="J87" s="332">
        <v>39462</v>
      </c>
    </row>
    <row r="88" spans="2:10">
      <c r="C88" s="2" t="s">
        <v>373</v>
      </c>
      <c r="D88" s="2"/>
      <c r="E88" s="2"/>
      <c r="F88" s="312"/>
      <c r="G88" s="312"/>
      <c r="H88" s="312"/>
      <c r="I88" s="332">
        <v>39462</v>
      </c>
      <c r="J88" s="332">
        <v>39462</v>
      </c>
    </row>
    <row r="89" spans="2:10">
      <c r="C89" s="2" t="s">
        <v>374</v>
      </c>
      <c r="D89" s="2"/>
      <c r="E89" s="2"/>
      <c r="F89" s="312"/>
      <c r="G89" s="312"/>
      <c r="H89" s="312"/>
      <c r="I89" s="332">
        <v>39462</v>
      </c>
      <c r="J89" s="332">
        <v>39462</v>
      </c>
    </row>
    <row r="90" spans="2:10">
      <c r="C90" s="2" t="s">
        <v>375</v>
      </c>
      <c r="D90" s="2"/>
      <c r="E90" s="2"/>
      <c r="F90" s="312"/>
      <c r="G90" s="312"/>
      <c r="H90" s="312"/>
      <c r="I90" s="332">
        <v>39462</v>
      </c>
      <c r="J90" s="332">
        <v>39462</v>
      </c>
    </row>
    <row r="91" spans="2:10">
      <c r="C91" s="2" t="s">
        <v>376</v>
      </c>
      <c r="D91" s="2"/>
      <c r="E91" s="2"/>
      <c r="F91" s="312"/>
      <c r="G91" s="312"/>
      <c r="H91" s="312"/>
      <c r="I91" s="332">
        <v>39462</v>
      </c>
      <c r="J91" s="332">
        <v>39462</v>
      </c>
    </row>
    <row r="92" spans="2:10">
      <c r="C92" s="308" t="s">
        <v>377</v>
      </c>
      <c r="D92" s="308"/>
      <c r="E92" s="308"/>
      <c r="F92" s="312"/>
      <c r="G92" s="312"/>
      <c r="H92" s="312"/>
      <c r="I92" s="364">
        <v>39532</v>
      </c>
      <c r="J92" s="364">
        <v>39532</v>
      </c>
    </row>
    <row r="93" spans="2:10">
      <c r="C93" s="2"/>
      <c r="D93" s="2"/>
      <c r="E93" s="2"/>
      <c r="F93" s="312"/>
      <c r="G93" s="312"/>
      <c r="H93" s="312"/>
      <c r="I93" s="331"/>
      <c r="J93" s="331"/>
    </row>
    <row r="94" spans="2:10">
      <c r="B94" s="309" t="s">
        <v>378</v>
      </c>
      <c r="C94" s="308"/>
      <c r="D94" s="308"/>
      <c r="E94" s="308"/>
      <c r="F94" s="313"/>
      <c r="G94" s="313"/>
      <c r="H94" s="313"/>
      <c r="I94" s="364">
        <v>39556</v>
      </c>
      <c r="J94" s="364">
        <v>39556</v>
      </c>
    </row>
    <row r="95" spans="2:10">
      <c r="B95" s="309"/>
      <c r="C95" s="308"/>
      <c r="D95" s="308"/>
      <c r="E95" s="308"/>
      <c r="F95" s="313"/>
      <c r="G95" s="313"/>
      <c r="H95" s="313"/>
      <c r="I95" s="331"/>
      <c r="J95" s="331"/>
    </row>
    <row r="96" spans="2:10">
      <c r="B96" s="308" t="s">
        <v>512</v>
      </c>
      <c r="C96" s="2"/>
      <c r="D96" s="2"/>
      <c r="E96" s="2"/>
      <c r="F96" s="312"/>
      <c r="G96" s="312"/>
      <c r="H96" s="312"/>
      <c r="I96" s="364">
        <v>39904</v>
      </c>
      <c r="J96" s="364">
        <v>39904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67</v>
      </c>
      <c r="J99" s="332" t="s">
        <v>67</v>
      </c>
    </row>
    <row r="100" spans="2:10">
      <c r="C100" s="2" t="s">
        <v>381</v>
      </c>
      <c r="D100" s="2"/>
      <c r="E100" s="2"/>
      <c r="F100" s="312"/>
      <c r="G100" s="312"/>
      <c r="H100" s="312"/>
      <c r="I100" s="332">
        <v>39846</v>
      </c>
      <c r="J100" s="332">
        <v>39846</v>
      </c>
    </row>
    <row r="101" spans="2:10">
      <c r="C101" s="2" t="s">
        <v>382</v>
      </c>
      <c r="D101" s="2"/>
      <c r="E101" s="2"/>
      <c r="F101" s="312"/>
      <c r="G101" s="312"/>
      <c r="H101" s="312"/>
      <c r="I101" s="332" t="s">
        <v>67</v>
      </c>
      <c r="J101" s="332" t="s">
        <v>67</v>
      </c>
    </row>
    <row r="102" spans="2:10">
      <c r="C102" s="308" t="s">
        <v>534</v>
      </c>
      <c r="D102" s="2"/>
      <c r="E102" s="2"/>
      <c r="F102" s="312"/>
      <c r="G102" s="312"/>
      <c r="H102" s="312"/>
      <c r="I102" s="364">
        <v>39846</v>
      </c>
      <c r="J102" s="364">
        <v>39846</v>
      </c>
    </row>
    <row r="103" spans="2:10">
      <c r="C103" s="2" t="s">
        <v>524</v>
      </c>
      <c r="D103" s="2"/>
      <c r="E103" s="2"/>
      <c r="F103" s="312"/>
      <c r="G103" s="312"/>
      <c r="H103" s="312"/>
      <c r="I103" s="332" t="s">
        <v>67</v>
      </c>
      <c r="J103" s="332" t="s">
        <v>67</v>
      </c>
    </row>
    <row r="104" spans="2:10">
      <c r="C104" s="2" t="s">
        <v>383</v>
      </c>
      <c r="D104" s="2"/>
      <c r="E104" s="2"/>
      <c r="F104" s="312"/>
      <c r="G104" s="312"/>
      <c r="H104" s="312"/>
      <c r="I104" s="332" t="s">
        <v>67</v>
      </c>
      <c r="J104" s="332" t="s">
        <v>67</v>
      </c>
    </row>
    <row r="105" spans="2:10">
      <c r="C105" s="2" t="s">
        <v>384</v>
      </c>
      <c r="D105" s="2"/>
      <c r="E105" s="2"/>
      <c r="F105" s="312"/>
      <c r="G105" s="312"/>
      <c r="H105" s="312"/>
      <c r="I105" s="332">
        <v>39448</v>
      </c>
      <c r="J105" s="332">
        <v>39448</v>
      </c>
    </row>
    <row r="106" spans="2:10">
      <c r="C106" s="2" t="s">
        <v>544</v>
      </c>
      <c r="D106" s="2"/>
      <c r="E106" s="2"/>
      <c r="F106" s="312"/>
      <c r="G106" s="312"/>
      <c r="H106" s="312"/>
      <c r="I106" s="332">
        <v>40422</v>
      </c>
      <c r="J106" s="332" t="s">
        <v>14</v>
      </c>
    </row>
    <row r="107" spans="2:10">
      <c r="C107" s="2" t="s">
        <v>385</v>
      </c>
      <c r="D107" s="2"/>
      <c r="E107" s="2"/>
      <c r="F107" s="312"/>
      <c r="G107" s="312"/>
      <c r="H107" s="312"/>
      <c r="I107" s="332">
        <v>39448</v>
      </c>
      <c r="J107" s="332">
        <v>39448</v>
      </c>
    </row>
    <row r="108" spans="2:10">
      <c r="C108" s="2" t="s">
        <v>386</v>
      </c>
      <c r="D108" s="2"/>
      <c r="E108" s="2"/>
      <c r="F108" s="312"/>
      <c r="G108" s="312"/>
      <c r="H108" s="312"/>
      <c r="I108" s="332">
        <v>40422</v>
      </c>
      <c r="J108" s="332">
        <v>40422</v>
      </c>
    </row>
    <row r="109" spans="2:10">
      <c r="C109" s="2" t="s">
        <v>523</v>
      </c>
      <c r="D109" s="2"/>
      <c r="E109" s="2"/>
      <c r="F109" s="312"/>
      <c r="G109" s="312"/>
      <c r="H109" s="312"/>
      <c r="I109" s="332" t="s">
        <v>67</v>
      </c>
      <c r="J109" s="332" t="s">
        <v>67</v>
      </c>
    </row>
    <row r="110" spans="2:10">
      <c r="C110" s="308" t="s">
        <v>526</v>
      </c>
      <c r="D110" s="2"/>
      <c r="E110" s="2"/>
      <c r="F110" s="312"/>
      <c r="G110" s="312"/>
      <c r="H110" s="312"/>
      <c r="I110" s="364">
        <v>40422</v>
      </c>
      <c r="J110" s="364">
        <v>40422</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v>39814</v>
      </c>
      <c r="J115" s="332">
        <v>39814</v>
      </c>
    </row>
    <row r="116" spans="3:10">
      <c r="C116" s="315" t="s">
        <v>342</v>
      </c>
      <c r="D116" s="315"/>
      <c r="E116" s="315"/>
      <c r="F116" s="315"/>
      <c r="G116" s="315"/>
      <c r="H116" s="315"/>
      <c r="I116" s="332">
        <v>39814</v>
      </c>
      <c r="J116" s="332">
        <v>39814</v>
      </c>
    </row>
    <row r="117" spans="3:10">
      <c r="C117" s="315" t="s">
        <v>390</v>
      </c>
      <c r="D117" s="315"/>
      <c r="E117" s="315"/>
      <c r="F117" s="315"/>
      <c r="G117" s="315"/>
      <c r="H117" s="315"/>
      <c r="I117" s="332">
        <v>39814</v>
      </c>
      <c r="J117" s="332">
        <v>39814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v>39845</v>
      </c>
      <c r="J120" s="332">
        <v>39845</v>
      </c>
    </row>
    <row r="121" spans="3:10">
      <c r="C121" s="315" t="s">
        <v>393</v>
      </c>
      <c r="D121" s="315"/>
      <c r="E121" s="315"/>
      <c r="F121" s="315"/>
      <c r="G121" s="315"/>
      <c r="H121" s="315"/>
      <c r="I121" s="332">
        <v>40026</v>
      </c>
      <c r="J121" s="332">
        <v>40026</v>
      </c>
    </row>
    <row r="122" spans="3:10">
      <c r="C122" s="315" t="s">
        <v>394</v>
      </c>
      <c r="D122" s="315"/>
      <c r="E122" s="315"/>
      <c r="F122" s="315"/>
      <c r="G122" s="315"/>
      <c r="H122" s="315"/>
      <c r="I122" s="332">
        <v>40148</v>
      </c>
      <c r="J122" s="332">
        <v>40148</v>
      </c>
    </row>
    <row r="123" spans="3:10">
      <c r="C123" s="315" t="s">
        <v>395</v>
      </c>
      <c r="D123" s="315"/>
      <c r="E123" s="315"/>
      <c r="F123" s="315"/>
      <c r="G123" s="315"/>
      <c r="H123" s="315"/>
      <c r="I123" s="534"/>
      <c r="J123" s="534"/>
    </row>
    <row r="124" spans="3:10">
      <c r="C124" s="315" t="s">
        <v>392</v>
      </c>
      <c r="D124" s="315"/>
      <c r="E124" s="315"/>
      <c r="F124" s="315"/>
      <c r="G124" s="315"/>
      <c r="H124" s="315"/>
      <c r="I124" s="329">
        <v>39845</v>
      </c>
      <c r="J124" s="332">
        <v>39845</v>
      </c>
    </row>
    <row r="125" spans="3:10">
      <c r="C125" s="315" t="s">
        <v>393</v>
      </c>
      <c r="D125" s="315"/>
      <c r="E125" s="315"/>
      <c r="F125" s="315"/>
      <c r="G125" s="315"/>
      <c r="H125" s="315"/>
      <c r="I125" s="332">
        <v>40026</v>
      </c>
      <c r="J125" s="332">
        <v>40026</v>
      </c>
    </row>
    <row r="126" spans="3:10">
      <c r="C126" s="315" t="s">
        <v>394</v>
      </c>
      <c r="D126" s="315"/>
      <c r="E126" s="315"/>
      <c r="F126" s="315"/>
      <c r="G126" s="315"/>
      <c r="H126" s="315"/>
      <c r="I126" s="332">
        <v>40148</v>
      </c>
      <c r="J126" s="332">
        <v>40148</v>
      </c>
    </row>
    <row r="127" spans="3:10">
      <c r="C127" s="315" t="s">
        <v>396</v>
      </c>
      <c r="D127" s="315"/>
      <c r="E127" s="315"/>
      <c r="F127" s="315"/>
      <c r="G127" s="315"/>
      <c r="H127" s="315"/>
      <c r="I127" s="332">
        <v>40148</v>
      </c>
      <c r="J127" s="332">
        <v>40148</v>
      </c>
    </row>
    <row r="128" spans="3:10">
      <c r="C128" s="315" t="s">
        <v>390</v>
      </c>
      <c r="D128" s="315"/>
      <c r="E128" s="315"/>
      <c r="F128" s="315"/>
      <c r="G128" s="315"/>
      <c r="H128" s="315"/>
      <c r="I128" s="534"/>
      <c r="J128" s="534"/>
    </row>
    <row r="129" spans="2:10">
      <c r="C129" s="315" t="s">
        <v>392</v>
      </c>
      <c r="D129" s="315"/>
      <c r="E129" s="315"/>
      <c r="F129" s="315"/>
      <c r="G129" s="315"/>
      <c r="H129" s="315"/>
      <c r="I129" s="332">
        <v>40513</v>
      </c>
      <c r="J129" s="332" t="s">
        <v>14</v>
      </c>
    </row>
    <row r="130" spans="2:10">
      <c r="C130" s="315" t="s">
        <v>393</v>
      </c>
      <c r="D130" s="315"/>
      <c r="E130" s="315"/>
      <c r="F130" s="315"/>
      <c r="G130" s="315"/>
      <c r="H130" s="315"/>
      <c r="I130" s="332">
        <v>40513</v>
      </c>
      <c r="J130" s="332" t="s">
        <v>14</v>
      </c>
    </row>
    <row r="131" spans="2:10">
      <c r="C131" s="313" t="s">
        <v>528</v>
      </c>
      <c r="D131" s="312"/>
      <c r="E131" s="312"/>
      <c r="F131" s="312"/>
      <c r="G131" s="312"/>
      <c r="H131" s="312"/>
      <c r="I131" s="364">
        <v>40513</v>
      </c>
      <c r="J131" s="364">
        <v>40513</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v>39448</v>
      </c>
      <c r="J134" s="332">
        <v>39448</v>
      </c>
    </row>
    <row r="135" spans="2:10">
      <c r="C135" s="2" t="s">
        <v>398</v>
      </c>
      <c r="D135" s="2"/>
      <c r="E135" s="2"/>
      <c r="F135" s="312"/>
      <c r="G135" s="312"/>
      <c r="H135" s="312"/>
      <c r="I135" s="332">
        <v>40263</v>
      </c>
      <c r="J135" s="332">
        <v>40263</v>
      </c>
    </row>
    <row r="136" spans="2:10">
      <c r="C136" s="2" t="s">
        <v>399</v>
      </c>
      <c r="D136" s="2"/>
      <c r="E136" s="2"/>
      <c r="F136" s="312"/>
      <c r="G136" s="312"/>
      <c r="H136" s="312"/>
      <c r="I136" s="332"/>
      <c r="J136" s="332"/>
    </row>
    <row r="137" spans="2:10">
      <c r="C137" s="312" t="s">
        <v>363</v>
      </c>
      <c r="D137" s="312"/>
      <c r="E137" s="312"/>
      <c r="F137" s="312"/>
      <c r="G137" s="312"/>
      <c r="H137" s="312"/>
      <c r="I137" s="332">
        <v>39995</v>
      </c>
      <c r="J137" s="332">
        <v>39995</v>
      </c>
    </row>
    <row r="138" spans="2:10">
      <c r="C138" s="2" t="s">
        <v>400</v>
      </c>
      <c r="D138" s="2"/>
      <c r="E138" s="2"/>
      <c r="F138" s="312"/>
      <c r="G138" s="312"/>
      <c r="H138" s="312"/>
      <c r="I138" s="332" t="s">
        <v>67</v>
      </c>
      <c r="J138" s="332" t="s">
        <v>67</v>
      </c>
    </row>
    <row r="139" spans="2:10">
      <c r="C139" s="2" t="s">
        <v>401</v>
      </c>
      <c r="D139" s="2"/>
      <c r="E139" s="2"/>
      <c r="F139" s="312"/>
      <c r="G139" s="312"/>
      <c r="H139" s="312"/>
      <c r="I139" s="332">
        <v>39814</v>
      </c>
      <c r="J139" s="332">
        <v>39814</v>
      </c>
    </row>
    <row r="140" spans="2:10">
      <c r="C140" s="2" t="s">
        <v>402</v>
      </c>
      <c r="D140" s="2"/>
      <c r="E140" s="2"/>
      <c r="F140" s="312"/>
      <c r="G140" s="312"/>
      <c r="H140" s="312"/>
      <c r="I140" s="332"/>
      <c r="J140" s="332"/>
    </row>
    <row r="141" spans="2:10">
      <c r="C141" s="312" t="s">
        <v>403</v>
      </c>
      <c r="D141" s="312"/>
      <c r="E141" s="312"/>
      <c r="F141" s="312"/>
      <c r="G141" s="312"/>
      <c r="H141" s="312"/>
      <c r="I141" s="332">
        <v>39448</v>
      </c>
      <c r="J141" s="332">
        <v>39448</v>
      </c>
    </row>
    <row r="142" spans="2:10">
      <c r="C142" s="312" t="s">
        <v>404</v>
      </c>
      <c r="D142" s="312"/>
      <c r="E142" s="312"/>
      <c r="F142" s="312"/>
      <c r="G142" s="312"/>
      <c r="H142" s="312"/>
      <c r="I142" s="332">
        <v>39904</v>
      </c>
      <c r="J142" s="332">
        <v>39904</v>
      </c>
    </row>
    <row r="143" spans="2:10">
      <c r="C143" s="312" t="s">
        <v>405</v>
      </c>
      <c r="D143" s="312"/>
      <c r="E143" s="312"/>
      <c r="F143" s="312"/>
      <c r="G143" s="312"/>
      <c r="H143" s="312"/>
      <c r="I143" s="332">
        <v>39934</v>
      </c>
      <c r="J143" s="332">
        <v>39934</v>
      </c>
    </row>
    <row r="144" spans="2:10">
      <c r="C144" s="2" t="s">
        <v>406</v>
      </c>
      <c r="D144" s="2"/>
      <c r="E144" s="2"/>
      <c r="F144" s="312"/>
      <c r="G144" s="312"/>
      <c r="H144" s="312"/>
      <c r="I144" s="332"/>
      <c r="J144" s="332"/>
    </row>
    <row r="145" spans="3:10">
      <c r="C145" s="2" t="s">
        <v>407</v>
      </c>
      <c r="D145" s="2"/>
      <c r="E145" s="2"/>
      <c r="F145" s="312"/>
      <c r="G145" s="312"/>
      <c r="H145" s="312"/>
      <c r="I145" s="332"/>
      <c r="J145" s="332"/>
    </row>
    <row r="146" spans="3:10">
      <c r="C146" s="312" t="s">
        <v>408</v>
      </c>
      <c r="D146" s="312"/>
      <c r="E146" s="312"/>
      <c r="F146" s="312"/>
      <c r="G146" s="312"/>
      <c r="H146" s="312"/>
      <c r="I146" s="332">
        <v>39995</v>
      </c>
      <c r="J146" s="332">
        <v>39995</v>
      </c>
    </row>
    <row r="147" spans="3:10">
      <c r="C147" s="312" t="s">
        <v>409</v>
      </c>
      <c r="D147" s="312"/>
      <c r="E147" s="312"/>
      <c r="F147" s="312"/>
      <c r="G147" s="312"/>
      <c r="H147" s="312"/>
      <c r="I147" s="332" t="s">
        <v>14</v>
      </c>
      <c r="J147" s="332" t="s">
        <v>14</v>
      </c>
    </row>
    <row r="148" spans="3:10">
      <c r="C148" s="2" t="s">
        <v>410</v>
      </c>
      <c r="D148" s="2"/>
      <c r="E148" s="2"/>
      <c r="F148" s="312"/>
      <c r="G148" s="312"/>
      <c r="H148" s="312"/>
      <c r="I148" s="332"/>
      <c r="J148" s="332"/>
    </row>
    <row r="149" spans="3:10">
      <c r="C149" s="312" t="s">
        <v>411</v>
      </c>
      <c r="D149" s="312"/>
      <c r="E149" s="312"/>
      <c r="F149" s="312"/>
      <c r="G149" s="312"/>
      <c r="H149" s="312"/>
      <c r="I149" s="332">
        <v>39934</v>
      </c>
      <c r="J149" s="332">
        <v>39934</v>
      </c>
    </row>
    <row r="150" spans="3:10">
      <c r="C150" s="312" t="s">
        <v>412</v>
      </c>
      <c r="D150" s="312"/>
      <c r="E150" s="312"/>
      <c r="F150" s="312"/>
      <c r="G150" s="312"/>
      <c r="H150" s="312"/>
      <c r="I150" s="332">
        <v>39934</v>
      </c>
      <c r="J150" s="332">
        <v>39934</v>
      </c>
    </row>
    <row r="151" spans="3:10">
      <c r="C151" s="312" t="s">
        <v>413</v>
      </c>
      <c r="D151" s="312"/>
      <c r="E151" s="312"/>
      <c r="F151" s="312"/>
      <c r="G151" s="312"/>
      <c r="H151" s="312"/>
      <c r="I151" s="332">
        <v>39448</v>
      </c>
      <c r="J151" s="332">
        <v>39448</v>
      </c>
    </row>
    <row r="152" spans="3:10">
      <c r="C152" s="312" t="s">
        <v>414</v>
      </c>
      <c r="D152" s="312"/>
      <c r="E152" s="312"/>
      <c r="F152" s="312"/>
      <c r="G152" s="312"/>
      <c r="H152" s="312"/>
      <c r="I152" s="332">
        <v>39934</v>
      </c>
      <c r="J152" s="332">
        <v>39934</v>
      </c>
    </row>
    <row r="153" spans="3:10">
      <c r="C153" s="312" t="s">
        <v>415</v>
      </c>
      <c r="D153" s="312"/>
      <c r="E153" s="312"/>
      <c r="F153" s="312"/>
      <c r="G153" s="312"/>
      <c r="H153" s="312"/>
      <c r="I153" s="332" t="s">
        <v>67</v>
      </c>
      <c r="J153" s="332" t="s">
        <v>67</v>
      </c>
    </row>
    <row r="154" spans="3:10">
      <c r="C154" s="2" t="s">
        <v>416</v>
      </c>
      <c r="D154" s="2"/>
      <c r="E154" s="2"/>
      <c r="F154" s="312"/>
      <c r="G154" s="312"/>
      <c r="H154" s="312"/>
      <c r="I154" s="332"/>
      <c r="J154" s="332"/>
    </row>
    <row r="155" spans="3:10">
      <c r="C155" s="312" t="s">
        <v>417</v>
      </c>
      <c r="D155" s="312"/>
      <c r="E155" s="312"/>
      <c r="F155" s="312"/>
      <c r="G155" s="312"/>
      <c r="H155" s="312"/>
      <c r="I155" s="332">
        <v>39814</v>
      </c>
      <c r="J155" s="332">
        <v>39814</v>
      </c>
    </row>
    <row r="156" spans="3:10">
      <c r="C156" s="312" t="s">
        <v>418</v>
      </c>
      <c r="D156" s="312"/>
      <c r="E156" s="312"/>
      <c r="F156" s="312"/>
      <c r="G156" s="312"/>
      <c r="H156" s="312"/>
      <c r="I156" s="332"/>
      <c r="J156" s="332"/>
    </row>
    <row r="157" spans="3:10">
      <c r="C157" s="315" t="s">
        <v>419</v>
      </c>
      <c r="D157" s="315"/>
      <c r="E157" s="315"/>
      <c r="F157" s="315"/>
      <c r="G157" s="315"/>
      <c r="H157" s="315"/>
      <c r="I157" s="332">
        <v>39814</v>
      </c>
      <c r="J157" s="332">
        <v>39814</v>
      </c>
    </row>
    <row r="158" spans="3:10">
      <c r="C158" s="315" t="s">
        <v>420</v>
      </c>
      <c r="D158" s="315"/>
      <c r="E158" s="315"/>
      <c r="F158" s="315"/>
      <c r="G158" s="315"/>
      <c r="H158" s="315"/>
      <c r="I158" s="332">
        <v>39814</v>
      </c>
      <c r="J158" s="332">
        <v>39814</v>
      </c>
    </row>
    <row r="159" spans="3:10">
      <c r="C159" s="315" t="s">
        <v>421</v>
      </c>
      <c r="D159" s="315"/>
      <c r="E159" s="315"/>
      <c r="F159" s="315"/>
      <c r="G159" s="315"/>
      <c r="H159" s="315"/>
      <c r="I159" s="332">
        <v>39814</v>
      </c>
      <c r="J159" s="332">
        <v>39814</v>
      </c>
    </row>
    <row r="160" spans="3:10">
      <c r="C160" s="312" t="s">
        <v>422</v>
      </c>
      <c r="D160" s="312"/>
      <c r="E160" s="312"/>
      <c r="F160" s="312"/>
      <c r="G160" s="312"/>
      <c r="H160" s="312"/>
      <c r="I160" s="332">
        <v>39814</v>
      </c>
      <c r="J160" s="332">
        <v>39814</v>
      </c>
    </row>
    <row r="161" spans="3:10">
      <c r="C161" s="312" t="s">
        <v>423</v>
      </c>
      <c r="D161" s="312"/>
      <c r="E161" s="312"/>
      <c r="F161" s="312"/>
      <c r="G161" s="312"/>
      <c r="H161" s="312"/>
      <c r="I161" s="332">
        <v>40422</v>
      </c>
      <c r="J161" s="332">
        <v>40422</v>
      </c>
    </row>
    <row r="162" spans="3:10">
      <c r="C162" s="2" t="s">
        <v>424</v>
      </c>
      <c r="D162" s="2"/>
      <c r="E162" s="2"/>
      <c r="F162" s="312"/>
      <c r="G162" s="312"/>
      <c r="H162" s="312"/>
      <c r="I162" s="332"/>
      <c r="J162" s="332"/>
    </row>
    <row r="163" spans="3:10">
      <c r="C163" s="312" t="s">
        <v>425</v>
      </c>
      <c r="D163" s="312"/>
      <c r="E163" s="312"/>
      <c r="F163" s="312"/>
      <c r="G163" s="312"/>
      <c r="H163" s="312"/>
      <c r="I163" s="332">
        <v>39448</v>
      </c>
      <c r="J163" s="332">
        <v>39448</v>
      </c>
    </row>
    <row r="164" spans="3:10">
      <c r="C164" s="312" t="s">
        <v>426</v>
      </c>
      <c r="D164" s="312"/>
      <c r="E164" s="312"/>
      <c r="F164" s="312"/>
      <c r="G164" s="312"/>
      <c r="H164" s="312"/>
      <c r="I164" s="332">
        <v>39448</v>
      </c>
      <c r="J164" s="332">
        <v>39448</v>
      </c>
    </row>
    <row r="165" spans="3:10">
      <c r="C165" s="315" t="s">
        <v>427</v>
      </c>
      <c r="D165" s="315"/>
      <c r="E165" s="315"/>
      <c r="F165" s="315"/>
      <c r="G165" s="315"/>
      <c r="H165" s="315"/>
      <c r="I165" s="332">
        <v>39448</v>
      </c>
      <c r="J165" s="332">
        <v>39448</v>
      </c>
    </row>
    <row r="166" spans="3:10">
      <c r="C166" s="315" t="s">
        <v>428</v>
      </c>
      <c r="D166" s="315"/>
      <c r="E166" s="315"/>
      <c r="F166" s="315"/>
      <c r="G166" s="315"/>
      <c r="H166" s="315"/>
      <c r="I166" s="332">
        <v>39448</v>
      </c>
      <c r="J166" s="332">
        <v>39448</v>
      </c>
    </row>
    <row r="167" spans="3:10">
      <c r="C167" s="312" t="s">
        <v>429</v>
      </c>
      <c r="D167" s="312"/>
      <c r="E167" s="312"/>
      <c r="F167" s="312"/>
      <c r="G167" s="312"/>
      <c r="H167" s="312"/>
      <c r="I167" s="332"/>
      <c r="J167" s="332"/>
    </row>
    <row r="168" spans="3:10">
      <c r="C168" s="315" t="s">
        <v>427</v>
      </c>
      <c r="D168" s="315"/>
      <c r="E168" s="315"/>
      <c r="F168" s="315"/>
      <c r="G168" s="315"/>
      <c r="H168" s="315"/>
      <c r="I168" s="332">
        <v>39448</v>
      </c>
      <c r="J168" s="332">
        <v>39448</v>
      </c>
    </row>
    <row r="169" spans="3:10">
      <c r="C169" s="315" t="s">
        <v>428</v>
      </c>
      <c r="D169" s="315"/>
      <c r="E169" s="315"/>
      <c r="F169" s="315"/>
      <c r="G169" s="315"/>
      <c r="H169" s="315"/>
      <c r="I169" s="332">
        <v>39448</v>
      </c>
      <c r="J169" s="332">
        <v>39448</v>
      </c>
    </row>
    <row r="170" spans="3:10">
      <c r="C170" s="312" t="s">
        <v>430</v>
      </c>
      <c r="D170" s="312"/>
      <c r="E170" s="312"/>
      <c r="F170" s="312"/>
      <c r="G170" s="312"/>
      <c r="H170" s="312"/>
      <c r="I170" s="332"/>
      <c r="J170" s="332"/>
    </row>
    <row r="171" spans="3:10">
      <c r="C171" s="315" t="s">
        <v>427</v>
      </c>
      <c r="D171" s="315"/>
      <c r="E171" s="315"/>
      <c r="F171" s="315"/>
      <c r="G171" s="315"/>
      <c r="H171" s="315"/>
      <c r="I171" s="332">
        <v>39995</v>
      </c>
      <c r="J171" s="332">
        <v>39995</v>
      </c>
    </row>
    <row r="172" spans="3:10">
      <c r="C172" s="315" t="s">
        <v>428</v>
      </c>
      <c r="D172" s="315"/>
      <c r="E172" s="315"/>
      <c r="F172" s="315"/>
      <c r="G172" s="315"/>
      <c r="H172" s="315"/>
      <c r="I172" s="332">
        <v>39995</v>
      </c>
      <c r="J172" s="332">
        <v>39995</v>
      </c>
    </row>
    <row r="173" spans="3:10">
      <c r="C173" s="312" t="s">
        <v>431</v>
      </c>
      <c r="D173" s="312"/>
      <c r="E173" s="312"/>
      <c r="F173" s="312"/>
      <c r="G173" s="312"/>
      <c r="H173" s="312"/>
      <c r="I173" s="332"/>
      <c r="J173" s="332"/>
    </row>
    <row r="174" spans="3:10">
      <c r="C174" s="315" t="s">
        <v>432</v>
      </c>
      <c r="D174" s="315"/>
      <c r="E174" s="315"/>
      <c r="F174" s="315"/>
      <c r="G174" s="315"/>
      <c r="H174" s="315"/>
      <c r="I174" s="332" t="s">
        <v>67</v>
      </c>
      <c r="J174" s="332" t="s">
        <v>67</v>
      </c>
    </row>
    <row r="175" spans="3:10">
      <c r="C175" s="315" t="s">
        <v>433</v>
      </c>
      <c r="D175" s="315"/>
      <c r="E175" s="315"/>
      <c r="F175" s="315"/>
      <c r="G175" s="315"/>
      <c r="H175" s="315"/>
      <c r="I175" s="332" t="s">
        <v>67</v>
      </c>
      <c r="J175" s="332" t="s">
        <v>67</v>
      </c>
    </row>
    <row r="176" spans="3:10">
      <c r="C176" s="315" t="s">
        <v>434</v>
      </c>
      <c r="D176" s="315"/>
      <c r="E176" s="315"/>
      <c r="F176" s="315"/>
      <c r="G176" s="315"/>
      <c r="H176" s="315"/>
      <c r="I176" s="332" t="s">
        <v>67</v>
      </c>
      <c r="J176" s="332" t="s">
        <v>67</v>
      </c>
    </row>
    <row r="177" spans="3:10">
      <c r="C177" s="315" t="s">
        <v>435</v>
      </c>
      <c r="D177" s="315"/>
      <c r="E177" s="315"/>
      <c r="F177" s="315"/>
      <c r="G177" s="315"/>
      <c r="H177" s="315"/>
      <c r="I177" s="332" t="s">
        <v>67</v>
      </c>
      <c r="J177" s="332" t="s">
        <v>67</v>
      </c>
    </row>
    <row r="178" spans="3:10">
      <c r="C178" s="310" t="s">
        <v>422</v>
      </c>
      <c r="D178" s="310"/>
      <c r="E178" s="310"/>
      <c r="F178" s="312"/>
      <c r="G178" s="312"/>
      <c r="H178" s="312"/>
      <c r="I178" s="332"/>
      <c r="J178" s="332"/>
    </row>
    <row r="179" spans="3:10">
      <c r="C179" s="312" t="s">
        <v>436</v>
      </c>
      <c r="D179" s="312"/>
      <c r="E179" s="312"/>
      <c r="F179" s="312"/>
      <c r="G179" s="312"/>
      <c r="H179" s="312"/>
      <c r="I179" s="332">
        <v>39918</v>
      </c>
      <c r="J179" s="332">
        <v>39918</v>
      </c>
    </row>
    <row r="180" spans="3:10">
      <c r="C180" s="312" t="s">
        <v>437</v>
      </c>
      <c r="D180" s="312"/>
      <c r="E180" s="312"/>
      <c r="F180" s="312"/>
      <c r="G180" s="312"/>
      <c r="H180" s="312"/>
      <c r="I180" s="332">
        <v>39814</v>
      </c>
      <c r="J180" s="332">
        <v>39814</v>
      </c>
    </row>
    <row r="181" spans="3:10">
      <c r="C181" s="312" t="s">
        <v>438</v>
      </c>
      <c r="D181" s="312"/>
      <c r="E181" s="312"/>
      <c r="F181" s="312"/>
      <c r="G181" s="312"/>
      <c r="H181" s="312"/>
      <c r="I181" s="332">
        <v>40057</v>
      </c>
      <c r="J181" s="332">
        <v>40057</v>
      </c>
    </row>
    <row r="182" spans="3:10">
      <c r="C182" s="312" t="s">
        <v>439</v>
      </c>
      <c r="D182" s="312"/>
      <c r="E182" s="312"/>
      <c r="F182" s="312"/>
      <c r="G182" s="312"/>
      <c r="H182" s="312"/>
      <c r="I182" s="332">
        <v>40087</v>
      </c>
      <c r="J182" s="332">
        <v>40087</v>
      </c>
    </row>
    <row r="183" spans="3:10">
      <c r="C183" s="310" t="s">
        <v>440</v>
      </c>
      <c r="D183" s="310"/>
      <c r="E183" s="310"/>
      <c r="F183" s="312"/>
      <c r="G183" s="312"/>
      <c r="H183" s="312"/>
      <c r="I183" s="332"/>
      <c r="J183" s="332">
        <v>0</v>
      </c>
    </row>
    <row r="184" spans="3:10">
      <c r="C184" s="310" t="s">
        <v>441</v>
      </c>
      <c r="D184" s="310"/>
      <c r="E184" s="310"/>
      <c r="F184" s="312"/>
      <c r="G184" s="312"/>
      <c r="H184" s="312"/>
      <c r="I184" s="332">
        <v>40299</v>
      </c>
      <c r="J184" s="332" t="s">
        <v>14</v>
      </c>
    </row>
    <row r="185" spans="3:10">
      <c r="C185" s="310" t="s">
        <v>442</v>
      </c>
      <c r="D185" s="310"/>
      <c r="E185" s="310"/>
      <c r="F185" s="312"/>
      <c r="G185" s="312"/>
      <c r="H185" s="312"/>
      <c r="I185" s="332" t="s">
        <v>67</v>
      </c>
      <c r="J185" s="332" t="s">
        <v>67</v>
      </c>
    </row>
    <row r="186" spans="3:10">
      <c r="C186" s="310" t="s">
        <v>443</v>
      </c>
      <c r="D186" s="310"/>
      <c r="E186" s="310"/>
      <c r="F186" s="312"/>
      <c r="G186" s="312"/>
      <c r="H186" s="312"/>
      <c r="I186" s="332">
        <v>39995</v>
      </c>
      <c r="J186" s="332">
        <v>39995</v>
      </c>
    </row>
    <row r="187" spans="3:10">
      <c r="C187" s="310" t="s">
        <v>444</v>
      </c>
      <c r="D187" s="310"/>
      <c r="E187" s="310"/>
      <c r="F187" s="312"/>
      <c r="G187" s="312"/>
      <c r="H187" s="312"/>
      <c r="I187" s="332"/>
      <c r="J187" s="332"/>
    </row>
    <row r="188" spans="3:10">
      <c r="C188" s="312" t="s">
        <v>445</v>
      </c>
      <c r="D188" s="312"/>
      <c r="E188" s="312"/>
      <c r="F188" s="312"/>
      <c r="G188" s="312"/>
      <c r="H188" s="312"/>
      <c r="I188" s="332">
        <v>40087</v>
      </c>
      <c r="J188" s="332">
        <v>40087</v>
      </c>
    </row>
    <row r="189" spans="3:10">
      <c r="C189" s="315" t="s">
        <v>446</v>
      </c>
      <c r="D189" s="315"/>
      <c r="E189" s="315"/>
      <c r="F189" s="315"/>
      <c r="G189" s="315"/>
      <c r="H189" s="315"/>
      <c r="I189" s="332">
        <v>40087</v>
      </c>
      <c r="J189" s="332">
        <v>40087</v>
      </c>
    </row>
    <row r="190" spans="3:10">
      <c r="C190" s="315" t="s">
        <v>447</v>
      </c>
      <c r="D190" s="315"/>
      <c r="E190" s="315"/>
      <c r="F190" s="315"/>
      <c r="G190" s="315"/>
      <c r="H190" s="315"/>
      <c r="I190" s="332">
        <v>40087</v>
      </c>
      <c r="J190" s="332">
        <v>40087</v>
      </c>
    </row>
    <row r="191" spans="3:10">
      <c r="C191" s="315" t="s">
        <v>448</v>
      </c>
      <c r="D191" s="315"/>
      <c r="E191" s="315"/>
      <c r="F191" s="315"/>
      <c r="G191" s="315"/>
      <c r="H191" s="315"/>
      <c r="I191" s="332" t="s">
        <v>67</v>
      </c>
      <c r="J191" s="332" t="s">
        <v>67</v>
      </c>
    </row>
    <row r="192" spans="3:10">
      <c r="C192" s="312" t="s">
        <v>449</v>
      </c>
      <c r="D192" s="312"/>
      <c r="E192" s="312"/>
      <c r="F192" s="312"/>
      <c r="G192" s="312"/>
      <c r="H192" s="312"/>
      <c r="I192" s="332">
        <v>39813</v>
      </c>
      <c r="J192" s="332">
        <v>39813</v>
      </c>
    </row>
    <row r="193" spans="2:10">
      <c r="C193" s="312" t="s">
        <v>450</v>
      </c>
      <c r="D193" s="312"/>
      <c r="E193" s="312"/>
      <c r="F193" s="312"/>
      <c r="G193" s="312"/>
      <c r="H193" s="312"/>
      <c r="I193" s="332"/>
      <c r="J193" s="332"/>
    </row>
    <row r="194" spans="2:10">
      <c r="C194" s="315" t="s">
        <v>451</v>
      </c>
      <c r="D194" s="315"/>
      <c r="E194" s="315"/>
      <c r="F194" s="315"/>
      <c r="G194" s="315"/>
      <c r="H194" s="315"/>
      <c r="I194" s="332">
        <v>40057</v>
      </c>
      <c r="J194" s="332">
        <v>40057</v>
      </c>
    </row>
    <row r="195" spans="2:10">
      <c r="C195" s="315" t="s">
        <v>452</v>
      </c>
      <c r="D195" s="315"/>
      <c r="E195" s="315"/>
      <c r="F195" s="315"/>
      <c r="G195" s="315"/>
      <c r="H195" s="315"/>
      <c r="I195" s="332">
        <v>40057</v>
      </c>
      <c r="J195" s="332">
        <v>40057</v>
      </c>
    </row>
    <row r="196" spans="2:10">
      <c r="C196" s="350" t="s">
        <v>529</v>
      </c>
      <c r="D196" s="2"/>
      <c r="E196" s="2"/>
      <c r="F196" s="312"/>
      <c r="G196" s="312"/>
      <c r="H196" s="312"/>
      <c r="I196" s="364">
        <v>40087</v>
      </c>
      <c r="J196" s="364">
        <v>40087</v>
      </c>
    </row>
    <row r="197" spans="2:10">
      <c r="C197" s="2"/>
      <c r="D197" s="2"/>
      <c r="E197" s="2"/>
      <c r="F197" s="312"/>
      <c r="G197" s="312"/>
      <c r="H197" s="312"/>
      <c r="I197" s="331"/>
      <c r="J197" s="331"/>
    </row>
    <row r="198" spans="2:10">
      <c r="B198" s="12" t="s">
        <v>518</v>
      </c>
      <c r="C198" s="2"/>
      <c r="D198" s="2"/>
      <c r="E198" s="2"/>
      <c r="F198" s="312"/>
      <c r="G198" s="312"/>
      <c r="H198" s="312"/>
      <c r="I198" s="332">
        <v>39995</v>
      </c>
      <c r="J198" s="332">
        <v>39995</v>
      </c>
    </row>
    <row r="199" spans="2:10">
      <c r="B199" s="301"/>
      <c r="C199" s="2"/>
      <c r="D199" s="2"/>
      <c r="E199" s="2"/>
      <c r="F199" s="312"/>
      <c r="G199" s="312"/>
      <c r="H199" s="312"/>
      <c r="I199" s="331"/>
      <c r="J199" s="331"/>
    </row>
    <row r="200" spans="2:10">
      <c r="B200" s="308" t="s">
        <v>453</v>
      </c>
      <c r="C200" s="308"/>
      <c r="D200" s="308"/>
      <c r="E200" s="308"/>
      <c r="F200" s="313"/>
      <c r="G200" s="313"/>
      <c r="H200" s="313"/>
      <c r="I200" s="364">
        <v>40025</v>
      </c>
      <c r="J200" s="364">
        <v>40025</v>
      </c>
    </row>
    <row r="201" spans="2:10">
      <c r="C201" s="12" t="s">
        <v>454</v>
      </c>
      <c r="D201" s="12"/>
      <c r="E201" s="12"/>
      <c r="F201" s="313"/>
      <c r="G201" s="313"/>
      <c r="H201" s="313"/>
      <c r="I201" s="332">
        <v>40025</v>
      </c>
      <c r="J201" s="332">
        <v>40025</v>
      </c>
    </row>
    <row r="202" spans="2:10">
      <c r="C202" s="2"/>
      <c r="D202" s="2"/>
      <c r="E202" s="2"/>
      <c r="F202" s="312"/>
      <c r="G202" s="312"/>
      <c r="H202" s="312"/>
      <c r="I202" s="331"/>
      <c r="J202" s="331"/>
    </row>
    <row r="203" spans="2:10">
      <c r="B203" s="12" t="s">
        <v>455</v>
      </c>
      <c r="C203" s="2"/>
      <c r="D203" s="2"/>
      <c r="E203" s="2"/>
      <c r="F203" s="312"/>
      <c r="G203" s="312"/>
      <c r="H203" s="312"/>
      <c r="I203" s="332">
        <v>40087</v>
      </c>
      <c r="J203" s="332">
        <v>40087</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v>40056</v>
      </c>
      <c r="J206" s="332">
        <v>40056</v>
      </c>
    </row>
    <row r="207" spans="2:10">
      <c r="C207" s="2" t="s">
        <v>458</v>
      </c>
      <c r="D207" s="2"/>
      <c r="E207" s="2"/>
      <c r="F207" s="312"/>
      <c r="G207" s="312"/>
      <c r="H207" s="312"/>
      <c r="I207" s="332">
        <v>40086</v>
      </c>
      <c r="J207" s="332">
        <v>40086</v>
      </c>
    </row>
    <row r="208" spans="2:10">
      <c r="C208" s="312" t="s">
        <v>459</v>
      </c>
      <c r="D208" s="312"/>
      <c r="E208" s="312"/>
      <c r="F208" s="312"/>
      <c r="G208" s="312"/>
      <c r="H208" s="312"/>
      <c r="I208" s="332">
        <v>40086</v>
      </c>
      <c r="J208" s="332">
        <v>40086</v>
      </c>
    </row>
    <row r="209" spans="2:10">
      <c r="C209" s="312" t="s">
        <v>460</v>
      </c>
      <c r="D209" s="312"/>
      <c r="E209" s="312"/>
      <c r="F209" s="312"/>
      <c r="G209" s="312"/>
      <c r="H209" s="312"/>
      <c r="I209" s="332">
        <v>40086</v>
      </c>
      <c r="J209" s="332">
        <v>40086</v>
      </c>
    </row>
    <row r="210" spans="2:10">
      <c r="C210" s="312" t="s">
        <v>461</v>
      </c>
      <c r="D210" s="312"/>
      <c r="E210" s="312"/>
      <c r="F210" s="312"/>
      <c r="G210" s="312"/>
      <c r="H210" s="312"/>
      <c r="I210" s="332"/>
      <c r="J210" s="332"/>
    </row>
    <row r="211" spans="2:10">
      <c r="C211" s="315" t="s">
        <v>462</v>
      </c>
      <c r="D211" s="315"/>
      <c r="E211" s="315"/>
      <c r="F211" s="315"/>
      <c r="G211" s="315"/>
      <c r="H211" s="315"/>
      <c r="I211" s="332">
        <v>40086</v>
      </c>
      <c r="J211" s="332">
        <v>40086</v>
      </c>
    </row>
    <row r="212" spans="2:10">
      <c r="C212" s="315" t="s">
        <v>463</v>
      </c>
      <c r="D212" s="315"/>
      <c r="E212" s="315"/>
      <c r="F212" s="315"/>
      <c r="G212" s="315"/>
      <c r="H212" s="315"/>
      <c r="I212" s="332" t="s">
        <v>67</v>
      </c>
      <c r="J212" s="332" t="s">
        <v>67</v>
      </c>
    </row>
    <row r="213" spans="2:10">
      <c r="C213" s="315" t="s">
        <v>464</v>
      </c>
      <c r="D213" s="315"/>
      <c r="E213" s="315"/>
      <c r="F213" s="315"/>
      <c r="G213" s="315"/>
      <c r="H213" s="315"/>
      <c r="I213" s="332">
        <v>40086</v>
      </c>
      <c r="J213" s="332">
        <v>40086</v>
      </c>
    </row>
    <row r="214" spans="2:10">
      <c r="C214" s="315" t="s">
        <v>465</v>
      </c>
      <c r="D214" s="315"/>
      <c r="E214" s="315"/>
      <c r="F214" s="315"/>
      <c r="G214" s="315"/>
      <c r="H214" s="315"/>
      <c r="I214" s="332" t="s">
        <v>67</v>
      </c>
      <c r="J214" s="332" t="s">
        <v>67</v>
      </c>
    </row>
    <row r="215" spans="2:10">
      <c r="C215" s="315" t="s">
        <v>390</v>
      </c>
      <c r="D215" s="315"/>
      <c r="E215" s="315"/>
      <c r="F215" s="315"/>
      <c r="G215" s="315"/>
      <c r="H215" s="315"/>
      <c r="I215" s="332">
        <v>40086</v>
      </c>
      <c r="J215" s="332">
        <v>40086</v>
      </c>
    </row>
    <row r="216" spans="2:10">
      <c r="B216" s="312" t="s">
        <v>513</v>
      </c>
      <c r="C216" s="312" t="s">
        <v>466</v>
      </c>
      <c r="D216" s="312"/>
      <c r="E216" s="312"/>
      <c r="F216" s="312"/>
      <c r="G216" s="312"/>
      <c r="H216" s="312"/>
      <c r="I216" s="332" t="s">
        <v>67</v>
      </c>
      <c r="J216" s="332" t="s">
        <v>67</v>
      </c>
    </row>
    <row r="217" spans="2:10">
      <c r="C217" s="2" t="s">
        <v>345</v>
      </c>
      <c r="D217" s="2"/>
      <c r="E217" s="2"/>
      <c r="F217" s="312"/>
      <c r="G217" s="312"/>
      <c r="H217" s="312"/>
      <c r="I217" s="331"/>
      <c r="J217" s="331"/>
    </row>
    <row r="218" spans="2:10">
      <c r="C218" s="312" t="s">
        <v>467</v>
      </c>
      <c r="D218" s="312"/>
      <c r="E218" s="312"/>
      <c r="F218" s="312"/>
      <c r="G218" s="312"/>
      <c r="H218" s="312"/>
      <c r="I218" s="332">
        <v>40118</v>
      </c>
      <c r="J218" s="332">
        <v>40118</v>
      </c>
    </row>
    <row r="219" spans="2:10">
      <c r="C219" s="312" t="s">
        <v>468</v>
      </c>
      <c r="D219" s="312"/>
      <c r="E219" s="312"/>
      <c r="F219" s="312"/>
      <c r="G219" s="312"/>
      <c r="H219" s="312"/>
      <c r="I219" s="332">
        <v>40118</v>
      </c>
      <c r="J219" s="332">
        <v>40118</v>
      </c>
    </row>
    <row r="220" spans="2:10">
      <c r="C220" s="312" t="s">
        <v>469</v>
      </c>
      <c r="D220" s="312"/>
      <c r="E220" s="312"/>
      <c r="F220" s="312"/>
      <c r="G220" s="312"/>
      <c r="H220" s="312"/>
      <c r="I220" s="332">
        <v>40118</v>
      </c>
      <c r="J220" s="332">
        <v>40118</v>
      </c>
    </row>
    <row r="221" spans="2:10">
      <c r="C221" s="312" t="s">
        <v>470</v>
      </c>
      <c r="D221" s="312"/>
      <c r="E221" s="312"/>
      <c r="F221" s="312"/>
      <c r="G221" s="312"/>
      <c r="H221" s="312"/>
      <c r="I221" s="332">
        <v>40118</v>
      </c>
      <c r="J221" s="332">
        <v>40118</v>
      </c>
    </row>
    <row r="222" spans="2:10">
      <c r="C222" s="312" t="s">
        <v>116</v>
      </c>
      <c r="D222" s="312"/>
      <c r="E222" s="312"/>
      <c r="F222" s="312"/>
      <c r="G222" s="312"/>
      <c r="H222" s="312"/>
      <c r="I222" s="332">
        <v>40118</v>
      </c>
      <c r="J222" s="332">
        <v>40118</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v>40169</v>
      </c>
      <c r="J225" s="364">
        <v>40169</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v>40148</v>
      </c>
      <c r="J229" s="332">
        <v>40148</v>
      </c>
    </row>
    <row r="230" spans="2:10">
      <c r="C230" s="312" t="s">
        <v>476</v>
      </c>
      <c r="D230" s="312"/>
      <c r="E230" s="312"/>
      <c r="F230" s="312"/>
      <c r="G230" s="312"/>
      <c r="H230" s="312"/>
      <c r="I230" s="332">
        <v>40179</v>
      </c>
      <c r="J230" s="332">
        <v>40179</v>
      </c>
    </row>
    <row r="231" spans="2:10">
      <c r="C231" s="312" t="s">
        <v>477</v>
      </c>
      <c r="D231" s="312"/>
      <c r="E231" s="312"/>
      <c r="F231" s="312"/>
      <c r="G231" s="312"/>
      <c r="H231" s="312"/>
      <c r="I231" s="332">
        <v>40179</v>
      </c>
      <c r="J231" s="332">
        <v>40179</v>
      </c>
    </row>
    <row r="232" spans="2:10">
      <c r="C232" s="350" t="s">
        <v>530</v>
      </c>
      <c r="D232" s="312"/>
      <c r="E232" s="312"/>
      <c r="F232" s="312"/>
      <c r="G232" s="312"/>
      <c r="H232" s="312"/>
      <c r="I232" s="364">
        <v>40179</v>
      </c>
      <c r="J232" s="364">
        <v>40179</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v>40094</v>
      </c>
      <c r="J235" s="364">
        <v>40094</v>
      </c>
    </row>
    <row r="236" spans="2:10">
      <c r="C236" s="308" t="s">
        <v>480</v>
      </c>
      <c r="D236" s="2"/>
      <c r="E236" s="2"/>
      <c r="F236" s="312"/>
      <c r="G236" s="312"/>
      <c r="H236" s="312"/>
      <c r="I236" s="332">
        <v>40057</v>
      </c>
      <c r="J236" s="332">
        <v>40057</v>
      </c>
    </row>
    <row r="237" spans="2:10">
      <c r="C237" s="2" t="s">
        <v>481</v>
      </c>
      <c r="D237" s="2"/>
      <c r="E237" s="2"/>
      <c r="F237" s="312"/>
      <c r="G237" s="312"/>
      <c r="H237" s="312"/>
      <c r="I237" s="364">
        <v>40087</v>
      </c>
      <c r="J237" s="364">
        <v>40087</v>
      </c>
    </row>
    <row r="238" spans="2:10">
      <c r="C238" s="2" t="s">
        <v>482</v>
      </c>
      <c r="D238" s="2"/>
      <c r="E238" s="2"/>
      <c r="F238" s="312"/>
      <c r="G238" s="312"/>
      <c r="H238" s="312"/>
      <c r="I238" s="332">
        <v>40057</v>
      </c>
      <c r="J238" s="332">
        <v>40057</v>
      </c>
    </row>
    <row r="239" spans="2:10">
      <c r="C239" s="2" t="s">
        <v>483</v>
      </c>
      <c r="D239" s="2"/>
      <c r="E239" s="2"/>
      <c r="F239" s="312"/>
      <c r="G239" s="312"/>
      <c r="H239" s="312"/>
      <c r="I239" s="332" t="s">
        <v>14</v>
      </c>
      <c r="J239" s="332" t="s">
        <v>14</v>
      </c>
    </row>
    <row r="240" spans="2:10">
      <c r="C240" s="2" t="s">
        <v>484</v>
      </c>
      <c r="D240" s="2"/>
      <c r="E240" s="2"/>
      <c r="F240" s="312"/>
      <c r="G240" s="312"/>
      <c r="H240" s="312"/>
      <c r="I240" s="332" t="s">
        <v>605</v>
      </c>
      <c r="J240" s="332" t="s">
        <v>605</v>
      </c>
    </row>
    <row r="241" spans="2:10">
      <c r="C241" s="2" t="s">
        <v>485</v>
      </c>
      <c r="D241" s="2"/>
      <c r="E241" s="2"/>
      <c r="F241" s="312"/>
      <c r="G241" s="312"/>
      <c r="H241" s="312"/>
      <c r="I241" s="331"/>
      <c r="J241" s="331"/>
    </row>
    <row r="242" spans="2:10">
      <c r="C242" s="312" t="s">
        <v>486</v>
      </c>
      <c r="D242" s="312"/>
      <c r="E242" s="312"/>
      <c r="F242" s="312"/>
      <c r="G242" s="312"/>
      <c r="H242" s="312"/>
      <c r="I242" s="332">
        <v>39904</v>
      </c>
      <c r="J242" s="332">
        <v>39904</v>
      </c>
    </row>
    <row r="243" spans="2:10">
      <c r="C243" s="315" t="s">
        <v>487</v>
      </c>
      <c r="D243" s="315"/>
      <c r="E243" s="315"/>
      <c r="F243" s="315"/>
      <c r="G243" s="315"/>
      <c r="H243" s="315"/>
      <c r="I243" s="332">
        <v>39904</v>
      </c>
      <c r="J243" s="332">
        <v>39904</v>
      </c>
    </row>
    <row r="244" spans="2:10">
      <c r="C244" s="312" t="s">
        <v>486</v>
      </c>
      <c r="D244" s="312"/>
      <c r="E244" s="312"/>
      <c r="F244" s="312"/>
      <c r="G244" s="312"/>
      <c r="H244" s="312"/>
      <c r="I244" s="332">
        <v>39995</v>
      </c>
      <c r="J244" s="332">
        <v>39995</v>
      </c>
    </row>
    <row r="245" spans="2:10">
      <c r="C245" s="315" t="s">
        <v>488</v>
      </c>
      <c r="D245" s="315"/>
      <c r="E245" s="315"/>
      <c r="F245" s="315"/>
      <c r="G245" s="315"/>
      <c r="H245" s="315"/>
      <c r="I245" s="332">
        <v>39995</v>
      </c>
      <c r="J245" s="332">
        <v>39995</v>
      </c>
    </row>
    <row r="246" spans="2:10">
      <c r="C246" s="312" t="s">
        <v>486</v>
      </c>
      <c r="D246" s="312"/>
      <c r="E246" s="312"/>
      <c r="F246" s="312"/>
      <c r="G246" s="312"/>
      <c r="H246" s="312"/>
      <c r="I246" s="332">
        <v>40291</v>
      </c>
      <c r="J246" s="332">
        <v>40291</v>
      </c>
    </row>
    <row r="247" spans="2:10">
      <c r="C247" s="315" t="s">
        <v>488</v>
      </c>
      <c r="D247" s="315"/>
      <c r="E247" s="315"/>
      <c r="F247" s="315"/>
      <c r="G247" s="315"/>
      <c r="H247" s="315"/>
      <c r="I247" s="332">
        <v>40291</v>
      </c>
      <c r="J247" s="332">
        <v>40291</v>
      </c>
    </row>
    <row r="248" spans="2:10">
      <c r="C248" s="312" t="s">
        <v>486</v>
      </c>
      <c r="D248" s="312"/>
      <c r="E248" s="312"/>
      <c r="F248" s="312"/>
      <c r="G248" s="312"/>
      <c r="H248" s="312"/>
      <c r="I248" s="332">
        <v>40360</v>
      </c>
      <c r="J248" s="332">
        <v>40360</v>
      </c>
    </row>
    <row r="249" spans="2:10">
      <c r="C249" s="315" t="s">
        <v>488</v>
      </c>
      <c r="D249" s="315"/>
      <c r="E249" s="315"/>
      <c r="F249" s="315"/>
      <c r="G249" s="315"/>
      <c r="H249" s="315"/>
      <c r="I249" s="332">
        <v>40360</v>
      </c>
      <c r="J249" s="332">
        <v>40360</v>
      </c>
    </row>
    <row r="250" spans="2:10">
      <c r="C250" s="312" t="s">
        <v>486</v>
      </c>
      <c r="D250" s="312"/>
      <c r="E250" s="312"/>
      <c r="F250" s="312"/>
      <c r="G250" s="312"/>
      <c r="H250" s="312"/>
      <c r="I250" s="332">
        <v>40452</v>
      </c>
      <c r="J250" s="332" t="s">
        <v>14</v>
      </c>
    </row>
    <row r="251" spans="2:10">
      <c r="C251" s="315" t="s">
        <v>488</v>
      </c>
      <c r="D251" s="315"/>
      <c r="E251" s="315"/>
      <c r="F251" s="315"/>
      <c r="G251" s="315"/>
      <c r="H251" s="315"/>
      <c r="I251" s="332">
        <v>40452</v>
      </c>
      <c r="J251" s="332" t="s">
        <v>14</v>
      </c>
    </row>
    <row r="252" spans="2:10">
      <c r="C252" s="312" t="s">
        <v>486</v>
      </c>
      <c r="D252" s="312"/>
      <c r="E252" s="312"/>
      <c r="F252" s="312"/>
      <c r="G252" s="312"/>
      <c r="H252" s="312"/>
      <c r="I252" s="332">
        <v>40513</v>
      </c>
      <c r="J252" s="332" t="s">
        <v>14</v>
      </c>
    </row>
    <row r="253" spans="2:10">
      <c r="B253" s="315" t="s">
        <v>489</v>
      </c>
      <c r="C253" s="315" t="s">
        <v>489</v>
      </c>
      <c r="D253" s="315"/>
      <c r="E253" s="315"/>
      <c r="F253" s="315"/>
      <c r="G253" s="315"/>
      <c r="H253" s="315"/>
      <c r="I253" s="332">
        <v>40513</v>
      </c>
      <c r="J253" s="332" t="s">
        <v>14</v>
      </c>
    </row>
    <row r="254" spans="2:10">
      <c r="C254" s="308" t="s">
        <v>539</v>
      </c>
      <c r="D254" s="2"/>
      <c r="E254" s="2"/>
      <c r="F254" s="312"/>
      <c r="G254" s="312"/>
      <c r="H254" s="312"/>
      <c r="I254" s="364">
        <v>40513</v>
      </c>
      <c r="J254" s="364" t="s">
        <v>14</v>
      </c>
    </row>
    <row r="255" spans="2:10">
      <c r="C255" s="308" t="s">
        <v>490</v>
      </c>
      <c r="D255" s="2"/>
      <c r="E255" s="2"/>
      <c r="F255" s="312"/>
      <c r="G255" s="312"/>
      <c r="H255" s="312"/>
      <c r="I255" s="364">
        <v>40544</v>
      </c>
      <c r="J255" s="364" t="s">
        <v>14</v>
      </c>
    </row>
    <row r="256" spans="2:10">
      <c r="C256" s="2" t="s">
        <v>491</v>
      </c>
      <c r="D256" s="2"/>
      <c r="E256" s="2"/>
      <c r="F256" s="312"/>
      <c r="G256" s="312"/>
      <c r="H256" s="312"/>
      <c r="I256" s="329">
        <v>40604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605</v>
      </c>
      <c r="J260" s="332" t="s">
        <v>605</v>
      </c>
    </row>
    <row r="261" spans="2:10">
      <c r="B261" s="312" t="s">
        <v>495</v>
      </c>
      <c r="C261" s="312" t="s">
        <v>495</v>
      </c>
      <c r="D261" s="312"/>
      <c r="E261" s="312"/>
      <c r="F261" s="312"/>
      <c r="G261" s="312"/>
      <c r="H261" s="312"/>
      <c r="I261" s="332" t="s">
        <v>605</v>
      </c>
      <c r="J261" s="332" t="s">
        <v>605</v>
      </c>
    </row>
    <row r="262" spans="2:10">
      <c r="B262" s="312" t="s">
        <v>496</v>
      </c>
      <c r="C262" s="312" t="s">
        <v>496</v>
      </c>
      <c r="D262" s="312"/>
      <c r="E262" s="312"/>
      <c r="F262" s="312"/>
      <c r="G262" s="312"/>
      <c r="H262" s="312"/>
      <c r="I262" s="332" t="s">
        <v>605</v>
      </c>
      <c r="J262" s="332" t="s">
        <v>605</v>
      </c>
    </row>
    <row r="263" spans="2:10">
      <c r="B263" s="312" t="s">
        <v>497</v>
      </c>
      <c r="C263" s="312" t="s">
        <v>497</v>
      </c>
      <c r="D263" s="312"/>
      <c r="E263" s="312"/>
      <c r="F263" s="312"/>
      <c r="G263" s="312"/>
      <c r="H263" s="312"/>
      <c r="I263" s="332" t="s">
        <v>605</v>
      </c>
      <c r="J263" s="332" t="s">
        <v>605</v>
      </c>
    </row>
    <row r="264" spans="2:10">
      <c r="B264" s="312" t="s">
        <v>498</v>
      </c>
      <c r="C264" s="312" t="s">
        <v>498</v>
      </c>
      <c r="D264" s="312"/>
      <c r="E264" s="312"/>
      <c r="F264" s="312"/>
      <c r="G264" s="312"/>
      <c r="H264" s="312"/>
      <c r="I264" s="332" t="s">
        <v>605</v>
      </c>
      <c r="J264" s="332" t="s">
        <v>605</v>
      </c>
    </row>
    <row r="265" spans="2:10">
      <c r="B265" s="312" t="s">
        <v>499</v>
      </c>
      <c r="C265" s="312" t="s">
        <v>499</v>
      </c>
      <c r="D265" s="312"/>
      <c r="E265" s="312"/>
      <c r="F265" s="312"/>
      <c r="G265" s="312"/>
      <c r="H265" s="312"/>
      <c r="I265" s="332" t="s">
        <v>605</v>
      </c>
      <c r="J265" s="332" t="s">
        <v>605</v>
      </c>
    </row>
    <row r="266" spans="2:10">
      <c r="C266" s="2" t="s">
        <v>500</v>
      </c>
      <c r="D266" s="2"/>
      <c r="E266" s="2"/>
      <c r="F266" s="312"/>
      <c r="G266" s="312"/>
      <c r="H266" s="312"/>
      <c r="I266" s="331"/>
      <c r="J266" s="331"/>
    </row>
    <row r="267" spans="2:10">
      <c r="C267" s="312" t="s">
        <v>494</v>
      </c>
      <c r="D267" s="312"/>
      <c r="E267" s="312"/>
      <c r="F267" s="312"/>
      <c r="G267" s="312"/>
      <c r="H267" s="312"/>
      <c r="I267" s="332" t="s">
        <v>67</v>
      </c>
      <c r="J267" s="332" t="s">
        <v>14</v>
      </c>
    </row>
    <row r="268" spans="2:10">
      <c r="C268" s="312" t="s">
        <v>495</v>
      </c>
      <c r="D268" s="312"/>
      <c r="E268" s="312"/>
      <c r="F268" s="312"/>
      <c r="G268" s="312"/>
      <c r="H268" s="312"/>
      <c r="I268" s="332" t="s">
        <v>67</v>
      </c>
      <c r="J268" s="332" t="s">
        <v>14</v>
      </c>
    </row>
    <row r="269" spans="2:10">
      <c r="C269" s="312" t="s">
        <v>496</v>
      </c>
      <c r="D269" s="312"/>
      <c r="E269" s="312"/>
      <c r="F269" s="312"/>
      <c r="G269" s="312"/>
      <c r="H269" s="312"/>
      <c r="I269" s="332" t="s">
        <v>67</v>
      </c>
      <c r="J269" s="332" t="s">
        <v>14</v>
      </c>
    </row>
    <row r="270" spans="2:10">
      <c r="C270" s="312" t="s">
        <v>497</v>
      </c>
      <c r="D270" s="312"/>
      <c r="E270" s="312"/>
      <c r="F270" s="312"/>
      <c r="G270" s="312"/>
      <c r="H270" s="312"/>
      <c r="I270" s="332" t="s">
        <v>67</v>
      </c>
      <c r="J270" s="332" t="s">
        <v>14</v>
      </c>
    </row>
    <row r="271" spans="2:10">
      <c r="C271" s="312" t="s">
        <v>498</v>
      </c>
      <c r="D271" s="312"/>
      <c r="E271" s="312"/>
      <c r="F271" s="312"/>
      <c r="G271" s="312"/>
      <c r="H271" s="312"/>
      <c r="I271" s="332" t="s">
        <v>67</v>
      </c>
      <c r="J271" s="332" t="s">
        <v>14</v>
      </c>
    </row>
    <row r="272" spans="2:10">
      <c r="C272" s="312" t="s">
        <v>499</v>
      </c>
      <c r="D272" s="312"/>
      <c r="E272" s="312"/>
      <c r="F272" s="312"/>
      <c r="G272" s="312"/>
      <c r="H272" s="312"/>
      <c r="I272" s="332" t="s">
        <v>67</v>
      </c>
      <c r="J272" s="332" t="s">
        <v>14</v>
      </c>
    </row>
    <row r="273" spans="2:10">
      <c r="C273" s="308" t="s">
        <v>541</v>
      </c>
      <c r="D273" s="2"/>
      <c r="E273" s="2"/>
      <c r="F273" s="312"/>
      <c r="G273" s="312"/>
      <c r="H273" s="312"/>
      <c r="I273" s="364">
        <v>40544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v>40543</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v>40178</v>
      </c>
      <c r="J278" s="332" t="s">
        <v>14</v>
      </c>
    </row>
    <row r="279" spans="2:10">
      <c r="C279" s="312" t="s">
        <v>504</v>
      </c>
      <c r="D279" s="312"/>
      <c r="E279" s="312"/>
      <c r="F279" s="312"/>
      <c r="G279" s="312"/>
      <c r="H279" s="312"/>
      <c r="I279" s="332" t="s">
        <v>67</v>
      </c>
      <c r="J279" s="332" t="s">
        <v>14</v>
      </c>
    </row>
    <row r="280" spans="2:10">
      <c r="C280" s="312" t="s">
        <v>385</v>
      </c>
      <c r="D280" s="312"/>
      <c r="E280" s="312"/>
      <c r="F280" s="312"/>
      <c r="G280" s="312"/>
      <c r="H280" s="312"/>
      <c r="I280" s="332">
        <v>40178</v>
      </c>
      <c r="J280" s="332" t="s">
        <v>14</v>
      </c>
    </row>
    <row r="281" spans="2:10">
      <c r="C281" s="312" t="s">
        <v>505</v>
      </c>
      <c r="D281" s="312"/>
      <c r="E281" s="312"/>
      <c r="F281" s="312"/>
      <c r="G281" s="312"/>
      <c r="H281" s="312"/>
      <c r="I281" s="332">
        <v>40178</v>
      </c>
      <c r="J281" s="332" t="s">
        <v>14</v>
      </c>
    </row>
    <row r="282" spans="2:10">
      <c r="C282" s="312" t="s">
        <v>506</v>
      </c>
      <c r="D282" s="312"/>
      <c r="E282" s="312"/>
      <c r="F282" s="312"/>
      <c r="G282" s="312"/>
      <c r="H282" s="312"/>
      <c r="I282" s="332">
        <v>40178</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v>40178</v>
      </c>
      <c r="J284" s="332" t="s">
        <v>14</v>
      </c>
    </row>
    <row r="285" spans="2:10">
      <c r="C285" s="315" t="s">
        <v>508</v>
      </c>
      <c r="D285" s="315"/>
      <c r="E285" s="315"/>
      <c r="F285" s="315"/>
      <c r="G285" s="315"/>
      <c r="H285" s="315"/>
      <c r="I285" s="332">
        <v>40178</v>
      </c>
      <c r="J285" s="332" t="s">
        <v>14</v>
      </c>
    </row>
    <row r="286" spans="2:10">
      <c r="C286" s="315" t="s">
        <v>509</v>
      </c>
      <c r="D286" s="315"/>
      <c r="E286" s="315"/>
      <c r="F286" s="315"/>
      <c r="G286" s="315"/>
      <c r="H286" s="315"/>
      <c r="I286" s="332">
        <v>40178</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v>40634</v>
      </c>
      <c r="J289" s="364" t="s">
        <v>14</v>
      </c>
    </row>
    <row r="290" spans="3:15">
      <c r="C290" s="308" t="s">
        <v>511</v>
      </c>
      <c r="D290" s="2"/>
      <c r="E290" s="2"/>
      <c r="F290" s="311"/>
      <c r="G290" s="311"/>
      <c r="H290" s="311"/>
      <c r="I290" s="364">
        <v>40664</v>
      </c>
      <c r="J290" s="364" t="s">
        <v>14</v>
      </c>
    </row>
    <row r="291" spans="3:15">
      <c r="C291" s="2"/>
      <c r="D291" s="2"/>
      <c r="E291" s="2"/>
      <c r="F291" s="2"/>
      <c r="G291" s="2"/>
      <c r="H291" s="2"/>
      <c r="I291" s="2"/>
      <c r="J291" s="7"/>
      <c r="K291" s="2"/>
      <c r="L291" s="2"/>
      <c r="M291" s="301"/>
      <c r="N291" s="2"/>
      <c r="O291" s="301"/>
    </row>
  </sheetData>
  <sheetProtection selectLockedCells="1"/>
  <mergeCells count="109">
    <mergeCell ref="I65:J65"/>
    <mergeCell ref="C57:D57"/>
    <mergeCell ref="H57:M57"/>
    <mergeCell ref="C58:D58"/>
    <mergeCell ref="H58:M58"/>
    <mergeCell ref="I63:J63"/>
    <mergeCell ref="I64:J64"/>
    <mergeCell ref="C54:D54"/>
    <mergeCell ref="H54:M54"/>
    <mergeCell ref="C55:D55"/>
    <mergeCell ref="H55:M55"/>
    <mergeCell ref="C56:D56"/>
    <mergeCell ref="H56:M56"/>
    <mergeCell ref="C51:D51"/>
    <mergeCell ref="H51:M51"/>
    <mergeCell ref="C52:D52"/>
    <mergeCell ref="H52:M52"/>
    <mergeCell ref="C53:D53"/>
    <mergeCell ref="H53:M53"/>
    <mergeCell ref="C48:D48"/>
    <mergeCell ref="H48:M48"/>
    <mergeCell ref="C49:D49"/>
    <mergeCell ref="H49:M49"/>
    <mergeCell ref="C50:D50"/>
    <mergeCell ref="H50:M50"/>
    <mergeCell ref="C45:D45"/>
    <mergeCell ref="H45:M45"/>
    <mergeCell ref="C46:D46"/>
    <mergeCell ref="H46:M46"/>
    <mergeCell ref="C47:D47"/>
    <mergeCell ref="H47:M47"/>
    <mergeCell ref="C42:D42"/>
    <mergeCell ref="H42:M42"/>
    <mergeCell ref="C43:D43"/>
    <mergeCell ref="H43:M43"/>
    <mergeCell ref="C44:D44"/>
    <mergeCell ref="H44:M44"/>
    <mergeCell ref="C39:D39"/>
    <mergeCell ref="H39:M39"/>
    <mergeCell ref="C40:D40"/>
    <mergeCell ref="H40:M40"/>
    <mergeCell ref="C41:D41"/>
    <mergeCell ref="H41:M41"/>
    <mergeCell ref="C24:D24"/>
    <mergeCell ref="F24:G24"/>
    <mergeCell ref="K24:M24"/>
    <mergeCell ref="C27:M34"/>
    <mergeCell ref="H37:M37"/>
    <mergeCell ref="C38:D38"/>
    <mergeCell ref="H38:M38"/>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7">
    <tabColor rgb="FF00B0F0"/>
  </sheetPr>
  <dimension ref="B1:U291"/>
  <sheetViews>
    <sheetView workbookViewId="0">
      <selection activeCell="P24" sqref="P24"/>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Detail!A30</f>
        <v>Pullman Wheelworks</v>
      </c>
      <c r="D2" s="341"/>
      <c r="E2" s="341"/>
      <c r="F2" s="120"/>
      <c r="G2" s="120"/>
      <c r="H2" s="120"/>
      <c r="I2" s="120"/>
      <c r="J2" s="120"/>
      <c r="K2" s="120"/>
      <c r="L2" s="120"/>
      <c r="M2" s="121"/>
      <c r="N2" s="319"/>
    </row>
    <row r="3" spans="2:21" s="122" customFormat="1" ht="20.25" customHeight="1" thickBot="1">
      <c r="B3" s="319"/>
      <c r="C3" s="136" t="str">
        <f>Detail!B30</f>
        <v>L Brace</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Detail!V30</f>
        <v>Family</v>
      </c>
      <c r="G6" s="836"/>
      <c r="H6" s="357"/>
      <c r="I6" s="833" t="s">
        <v>219</v>
      </c>
      <c r="J6" s="834"/>
      <c r="K6" s="834"/>
      <c r="L6" s="837" t="str">
        <f>Detail!I30</f>
        <v>LIHTC - 4%</v>
      </c>
      <c r="M6" s="838"/>
      <c r="N6" s="318"/>
    </row>
    <row r="7" spans="2:21" ht="17.25" customHeight="1">
      <c r="B7" s="318"/>
      <c r="C7" s="796" t="s">
        <v>214</v>
      </c>
      <c r="D7" s="797"/>
      <c r="E7" s="352"/>
      <c r="F7" s="819" t="str">
        <f>Detail!C30</f>
        <v>Chicago</v>
      </c>
      <c r="G7" s="820"/>
      <c r="H7" s="357"/>
      <c r="I7" s="796" t="s">
        <v>183</v>
      </c>
      <c r="J7" s="797"/>
      <c r="K7" s="797"/>
      <c r="L7" s="830" t="str">
        <f>Detail!J30</f>
        <v>Local: State Funding</v>
      </c>
      <c r="M7" s="831"/>
      <c r="N7" s="318"/>
    </row>
    <row r="8" spans="2:21">
      <c r="B8" s="318"/>
      <c r="C8" s="796" t="s">
        <v>9</v>
      </c>
      <c r="D8" s="797"/>
      <c r="E8" s="352"/>
      <c r="F8" s="819" t="str">
        <f>Detail!D30</f>
        <v>Acquisition/ Rehab</v>
      </c>
      <c r="G8" s="820"/>
      <c r="H8" s="357"/>
      <c r="I8" s="796" t="s">
        <v>184</v>
      </c>
      <c r="J8" s="797"/>
      <c r="K8" s="797"/>
      <c r="L8" s="830" t="str">
        <f>Detail!K30</f>
        <v>Local: City/County Funding</v>
      </c>
      <c r="M8" s="831"/>
      <c r="N8" s="318"/>
    </row>
    <row r="9" spans="2:21" ht="34.5" customHeight="1">
      <c r="B9" s="318"/>
      <c r="C9" s="796" t="s">
        <v>215</v>
      </c>
      <c r="D9" s="797"/>
      <c r="E9" s="353"/>
      <c r="F9" s="832">
        <f>Detail!T30</f>
        <v>210</v>
      </c>
      <c r="G9" s="820"/>
      <c r="H9" s="357"/>
      <c r="I9" s="796" t="s">
        <v>185</v>
      </c>
      <c r="J9" s="797"/>
      <c r="K9" s="797"/>
      <c r="L9" s="830" t="str">
        <f>Detail!L30</f>
        <v>Grant Funding - Public or Private</v>
      </c>
      <c r="M9" s="831"/>
      <c r="N9" s="318"/>
    </row>
    <row r="10" spans="2:21" ht="17.25" customHeight="1">
      <c r="B10" s="318"/>
      <c r="C10" s="796" t="s">
        <v>216</v>
      </c>
      <c r="D10" s="797"/>
      <c r="E10" s="352"/>
      <c r="F10" s="819" t="str">
        <f>Detail!V30</f>
        <v>Family</v>
      </c>
      <c r="G10" s="820"/>
      <c r="H10" s="357"/>
      <c r="I10" s="796" t="s">
        <v>44</v>
      </c>
      <c r="J10" s="797"/>
      <c r="K10" s="797"/>
      <c r="L10" s="800">
        <f>Detail!AB30</f>
        <v>30136151</v>
      </c>
      <c r="M10" s="801"/>
      <c r="N10" s="318"/>
    </row>
    <row r="11" spans="2:21" ht="32.25" customHeight="1">
      <c r="B11" s="318"/>
      <c r="C11" s="361"/>
      <c r="D11" s="362"/>
      <c r="E11" s="352"/>
      <c r="F11" s="819" t="str">
        <f>Detail!W30</f>
        <v>Workforce</v>
      </c>
      <c r="G11" s="820"/>
      <c r="H11" s="357"/>
      <c r="I11" s="796" t="s">
        <v>602</v>
      </c>
      <c r="J11" s="797"/>
      <c r="K11" s="512"/>
      <c r="L11" s="828" t="str">
        <f>Detail!AG30</f>
        <v>National Affordable  Housing Trust</v>
      </c>
      <c r="M11" s="829"/>
      <c r="N11" s="318"/>
    </row>
    <row r="12" spans="2:21">
      <c r="B12" s="318"/>
      <c r="C12" s="361"/>
      <c r="D12" s="362"/>
      <c r="E12" s="352"/>
      <c r="F12" s="819" t="str">
        <f>Detail!X30</f>
        <v>N/A</v>
      </c>
      <c r="G12" s="820"/>
      <c r="H12" s="357"/>
      <c r="I12" s="796" t="s">
        <v>603</v>
      </c>
      <c r="J12" s="797"/>
      <c r="K12" s="797"/>
      <c r="L12" s="828">
        <f>Detail!N30</f>
        <v>2011</v>
      </c>
      <c r="M12" s="829"/>
      <c r="N12" s="318"/>
    </row>
    <row r="13" spans="2:21" ht="17.25" customHeight="1">
      <c r="B13" s="318"/>
      <c r="C13" s="796" t="s">
        <v>525</v>
      </c>
      <c r="D13" s="797"/>
      <c r="E13" s="354"/>
      <c r="F13" s="827" t="str">
        <f>Detail!AM30</f>
        <v>Leasing and Mgmt Corp.</v>
      </c>
      <c r="G13" s="820"/>
      <c r="H13" s="357"/>
      <c r="I13" s="796" t="s">
        <v>256</v>
      </c>
      <c r="J13" s="797"/>
      <c r="K13" s="797"/>
      <c r="L13" s="800">
        <f>Detail!AC30</f>
        <v>8618590</v>
      </c>
      <c r="M13" s="801"/>
      <c r="N13" s="318"/>
    </row>
    <row r="14" spans="2:21" ht="17.25" customHeight="1">
      <c r="B14" s="318"/>
      <c r="C14" s="796" t="s">
        <v>172</v>
      </c>
      <c r="D14" s="797"/>
      <c r="E14" s="352"/>
      <c r="F14" s="819" t="str">
        <f>Detail!Z30</f>
        <v>Service Coordination</v>
      </c>
      <c r="G14" s="820"/>
      <c r="H14" s="357"/>
      <c r="I14" s="796" t="s">
        <v>257</v>
      </c>
      <c r="J14" s="797"/>
      <c r="K14" s="797"/>
      <c r="L14" s="800">
        <f>Detail!AF30</f>
        <v>8320580</v>
      </c>
      <c r="M14" s="801"/>
      <c r="N14" s="318"/>
    </row>
    <row r="15" spans="2:21" ht="17.25" customHeight="1" thickBot="1">
      <c r="B15" s="318"/>
      <c r="C15" s="796" t="s">
        <v>217</v>
      </c>
      <c r="D15" s="797"/>
      <c r="E15" s="355"/>
      <c r="F15" s="819" t="str">
        <f>Detail!AA30</f>
        <v>Property Operations</v>
      </c>
      <c r="G15" s="820"/>
      <c r="H15" s="357"/>
      <c r="I15" s="821" t="s">
        <v>255</v>
      </c>
      <c r="J15" s="822"/>
      <c r="K15" s="822"/>
      <c r="L15" s="823">
        <f>Detail!AD30</f>
        <v>861859</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Detail!AH30</f>
        <v>2976286</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Detail!AJ30</f>
        <v>1100000</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Detail!AI30</f>
        <v>1876286</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33.75" customHeight="1" thickTop="1">
      <c r="B21" s="320"/>
      <c r="C21" s="804" t="s">
        <v>46</v>
      </c>
      <c r="D21" s="805"/>
      <c r="E21" s="349"/>
      <c r="F21" s="806" t="str">
        <f>Detail!F30</f>
        <v>Construction</v>
      </c>
      <c r="G21" s="807"/>
      <c r="H21" s="359"/>
      <c r="I21" s="804" t="s">
        <v>226</v>
      </c>
      <c r="J21" s="805"/>
      <c r="K21" s="805"/>
      <c r="L21" s="808">
        <f>Detail!Q30</f>
        <v>0.05</v>
      </c>
      <c r="M21" s="809"/>
      <c r="N21" s="320"/>
    </row>
    <row r="22" spans="2:21" s="88" customFormat="1" ht="17.25" customHeight="1">
      <c r="B22" s="320"/>
      <c r="C22" s="796" t="s">
        <v>223</v>
      </c>
      <c r="D22" s="797"/>
      <c r="E22" s="348"/>
      <c r="F22" s="798">
        <f>Detail!P30</f>
        <v>40878</v>
      </c>
      <c r="G22" s="799"/>
      <c r="H22" s="359"/>
      <c r="I22" s="796" t="s">
        <v>227</v>
      </c>
      <c r="J22" s="797"/>
      <c r="K22" s="797"/>
      <c r="L22" s="800">
        <f>Detail!AO30+Detail!AP30+Detail!AQ30+Detail!AR30</f>
        <v>275000</v>
      </c>
      <c r="M22" s="801"/>
      <c r="N22" s="320"/>
    </row>
    <row r="23" spans="2:21" s="88" customFormat="1" ht="17.25" customHeight="1">
      <c r="B23" s="320"/>
      <c r="C23" s="796" t="s">
        <v>224</v>
      </c>
      <c r="D23" s="797"/>
      <c r="E23" s="348"/>
      <c r="F23" s="798">
        <f>Detail!R30</f>
        <v>40908</v>
      </c>
      <c r="G23" s="799"/>
      <c r="H23" s="359"/>
      <c r="I23" s="796" t="s">
        <v>228</v>
      </c>
      <c r="J23" s="797"/>
      <c r="K23" s="797"/>
      <c r="L23" s="800">
        <f>Detail!BG30</f>
        <v>0</v>
      </c>
      <c r="M23" s="801"/>
      <c r="N23" s="320"/>
    </row>
    <row r="24" spans="2:21" s="88" customFormat="1" ht="17.25" customHeight="1" thickBot="1">
      <c r="B24" s="320"/>
      <c r="C24" s="778" t="s">
        <v>225</v>
      </c>
      <c r="D24" s="779"/>
      <c r="E24" s="513"/>
      <c r="F24" s="780">
        <f>Detail!S30</f>
        <v>41518</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Pullman Wheelworks</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c r="B38" s="322"/>
      <c r="C38" s="792" t="s">
        <v>514</v>
      </c>
      <c r="D38" s="793"/>
      <c r="E38" s="344"/>
      <c r="F38" s="368" t="str">
        <f>I92</f>
        <v>TBD</v>
      </c>
      <c r="G38" s="368" t="str">
        <f>J92</f>
        <v>TBD</v>
      </c>
      <c r="H38" s="794"/>
      <c r="I38" s="794"/>
      <c r="J38" s="794"/>
      <c r="K38" s="794"/>
      <c r="L38" s="794"/>
      <c r="M38" s="795"/>
      <c r="N38" s="322"/>
    </row>
    <row r="39" spans="2:19" s="300" customFormat="1" ht="12.75" customHeight="1">
      <c r="B39" s="322"/>
      <c r="C39" s="774" t="s">
        <v>516</v>
      </c>
      <c r="D39" s="775"/>
      <c r="E39" s="514"/>
      <c r="F39" s="368" t="str">
        <f>I94</f>
        <v>TBD</v>
      </c>
      <c r="G39" s="369" t="str">
        <f>J94</f>
        <v>TBD</v>
      </c>
      <c r="H39" s="772"/>
      <c r="I39" s="772"/>
      <c r="J39" s="772"/>
      <c r="K39" s="772"/>
      <c r="L39" s="772"/>
      <c r="M39" s="773"/>
      <c r="N39" s="322"/>
    </row>
    <row r="40" spans="2:19" s="300" customFormat="1">
      <c r="B40" s="322"/>
      <c r="C40" s="774" t="s">
        <v>344</v>
      </c>
      <c r="D40" s="775"/>
      <c r="E40" s="514"/>
      <c r="F40" s="368" t="str">
        <f>I96</f>
        <v>TBD</v>
      </c>
      <c r="G40" s="368" t="str">
        <f>J96</f>
        <v>TBD</v>
      </c>
      <c r="H40" s="772"/>
      <c r="I40" s="772"/>
      <c r="J40" s="772"/>
      <c r="K40" s="772"/>
      <c r="L40" s="772"/>
      <c r="M40" s="773"/>
      <c r="N40" s="322"/>
    </row>
    <row r="41" spans="2:19" s="300" customFormat="1" ht="12.75" customHeight="1">
      <c r="B41" s="322"/>
      <c r="C41" s="774" t="s">
        <v>535</v>
      </c>
      <c r="D41" s="775"/>
      <c r="E41" s="514"/>
      <c r="F41" s="368" t="str">
        <f>Pullman!I102</f>
        <v>TBD</v>
      </c>
      <c r="G41" s="368" t="str">
        <f>J102</f>
        <v>TBD</v>
      </c>
      <c r="H41" s="772"/>
      <c r="I41" s="772"/>
      <c r="J41" s="772"/>
      <c r="K41" s="772"/>
      <c r="L41" s="772"/>
      <c r="M41" s="773"/>
      <c r="N41" s="322"/>
      <c r="P41" s="358"/>
      <c r="Q41" s="358"/>
      <c r="R41" s="358"/>
      <c r="S41" s="358"/>
    </row>
    <row r="42" spans="2:19" s="300" customFormat="1" ht="38.25" customHeight="1">
      <c r="B42" s="322"/>
      <c r="C42" s="774" t="s">
        <v>536</v>
      </c>
      <c r="D42" s="775"/>
      <c r="E42" s="514"/>
      <c r="F42" s="368">
        <f>I110</f>
        <v>41274</v>
      </c>
      <c r="G42" s="368" t="str">
        <f>J110</f>
        <v>TBD</v>
      </c>
      <c r="H42" s="772" t="s">
        <v>612</v>
      </c>
      <c r="I42" s="772"/>
      <c r="J42" s="772"/>
      <c r="K42" s="772"/>
      <c r="L42" s="772"/>
      <c r="M42" s="773"/>
      <c r="N42" s="322"/>
      <c r="P42" s="358"/>
      <c r="Q42" s="358"/>
      <c r="R42" s="358"/>
      <c r="S42" s="358"/>
    </row>
    <row r="43" spans="2:19" s="300" customFormat="1">
      <c r="B43" s="322"/>
      <c r="C43" s="774" t="s">
        <v>517</v>
      </c>
      <c r="D43" s="775"/>
      <c r="E43" s="514"/>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14"/>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14"/>
      <c r="F45" s="368" t="str">
        <f>I200</f>
        <v>TBD</v>
      </c>
      <c r="G45" s="368" t="str">
        <f>J200</f>
        <v>TBD</v>
      </c>
      <c r="H45" s="772"/>
      <c r="I45" s="772"/>
      <c r="J45" s="772"/>
      <c r="K45" s="772"/>
      <c r="L45" s="772"/>
      <c r="M45" s="773"/>
      <c r="N45" s="322"/>
    </row>
    <row r="46" spans="2:19" s="300" customFormat="1">
      <c r="B46" s="322"/>
      <c r="C46" s="774" t="s">
        <v>538</v>
      </c>
      <c r="D46" s="775"/>
      <c r="E46" s="514"/>
      <c r="F46" s="368" t="str">
        <f>I232</f>
        <v>TBD</v>
      </c>
      <c r="G46" s="368" t="str">
        <f>J232</f>
        <v>TBD</v>
      </c>
      <c r="H46" s="772"/>
      <c r="I46" s="772"/>
      <c r="J46" s="772"/>
      <c r="K46" s="772"/>
      <c r="L46" s="772"/>
      <c r="M46" s="773"/>
      <c r="N46" s="322"/>
    </row>
    <row r="47" spans="2:19" s="300" customFormat="1" ht="14">
      <c r="B47" s="322"/>
      <c r="C47" s="774" t="s">
        <v>55</v>
      </c>
      <c r="D47" s="775"/>
      <c r="E47" s="514"/>
      <c r="F47" s="368">
        <f>I225</f>
        <v>40892</v>
      </c>
      <c r="G47" s="368">
        <f>J225</f>
        <v>40892</v>
      </c>
      <c r="H47" s="772"/>
      <c r="I47" s="772"/>
      <c r="J47" s="772"/>
      <c r="K47" s="772"/>
      <c r="L47" s="772"/>
      <c r="M47" s="773"/>
      <c r="N47" s="322"/>
    </row>
    <row r="48" spans="2:19" s="300" customFormat="1" ht="14">
      <c r="B48" s="322"/>
      <c r="C48" s="774" t="s">
        <v>346</v>
      </c>
      <c r="D48" s="775"/>
      <c r="E48" s="514"/>
      <c r="F48" s="368">
        <f>I235</f>
        <v>40908</v>
      </c>
      <c r="G48" s="368">
        <f>J235</f>
        <v>40908</v>
      </c>
      <c r="H48" s="772"/>
      <c r="I48" s="772"/>
      <c r="J48" s="772"/>
      <c r="K48" s="772"/>
      <c r="L48" s="772"/>
      <c r="M48" s="773"/>
      <c r="N48" s="322"/>
    </row>
    <row r="49" spans="2:14" s="300" customFormat="1" ht="14">
      <c r="B49" s="322"/>
      <c r="C49" s="774" t="s">
        <v>347</v>
      </c>
      <c r="D49" s="775"/>
      <c r="E49" s="514"/>
      <c r="F49" s="368">
        <f>I237</f>
        <v>40923</v>
      </c>
      <c r="G49" s="368">
        <f>J237</f>
        <v>40923</v>
      </c>
      <c r="H49" s="772"/>
      <c r="I49" s="772"/>
      <c r="J49" s="772"/>
      <c r="K49" s="772"/>
      <c r="L49" s="772"/>
      <c r="M49" s="773"/>
      <c r="N49" s="322"/>
    </row>
    <row r="50" spans="2:14" s="300" customFormat="1" ht="14">
      <c r="B50" s="322"/>
      <c r="C50" s="774" t="s">
        <v>348</v>
      </c>
      <c r="D50" s="775"/>
      <c r="E50" s="514"/>
      <c r="F50" s="368">
        <f>I254</f>
        <v>40786</v>
      </c>
      <c r="G50" s="368">
        <f>J254</f>
        <v>40786</v>
      </c>
      <c r="H50" s="772"/>
      <c r="I50" s="772"/>
      <c r="J50" s="772"/>
      <c r="K50" s="772"/>
      <c r="L50" s="772"/>
      <c r="M50" s="773"/>
      <c r="N50" s="322"/>
    </row>
    <row r="51" spans="2:14" s="300" customFormat="1">
      <c r="B51" s="322"/>
      <c r="C51" s="774" t="s">
        <v>65</v>
      </c>
      <c r="D51" s="775"/>
      <c r="E51" s="514"/>
      <c r="F51" s="368" t="str">
        <f>I255</f>
        <v>TBD</v>
      </c>
      <c r="G51" s="368" t="str">
        <f>J255</f>
        <v>TBD</v>
      </c>
      <c r="H51" s="772"/>
      <c r="I51" s="772"/>
      <c r="J51" s="772"/>
      <c r="K51" s="772"/>
      <c r="L51" s="772"/>
      <c r="M51" s="773"/>
      <c r="N51" s="322"/>
    </row>
    <row r="52" spans="2:14" s="300" customFormat="1">
      <c r="B52" s="322"/>
      <c r="C52" s="774" t="s">
        <v>540</v>
      </c>
      <c r="D52" s="775"/>
      <c r="E52" s="514"/>
      <c r="F52" s="368" t="str">
        <f>I273</f>
        <v>TBD</v>
      </c>
      <c r="G52" s="368" t="str">
        <f>J273</f>
        <v>TBD</v>
      </c>
      <c r="H52" s="772"/>
      <c r="I52" s="772"/>
      <c r="J52" s="772"/>
      <c r="K52" s="772"/>
      <c r="L52" s="772"/>
      <c r="M52" s="773"/>
      <c r="N52" s="322"/>
    </row>
    <row r="53" spans="2:14" s="300" customFormat="1">
      <c r="B53" s="322"/>
      <c r="C53" s="774" t="s">
        <v>542</v>
      </c>
      <c r="D53" s="775"/>
      <c r="E53" s="514"/>
      <c r="F53" s="368" t="str">
        <f>I276</f>
        <v>TBD</v>
      </c>
      <c r="G53" s="368" t="str">
        <f>J276</f>
        <v>TBD</v>
      </c>
      <c r="H53" s="772"/>
      <c r="I53" s="772"/>
      <c r="J53" s="772"/>
      <c r="K53" s="772"/>
      <c r="L53" s="772"/>
      <c r="M53" s="773"/>
      <c r="N53" s="322"/>
    </row>
    <row r="54" spans="2:14" s="300" customFormat="1">
      <c r="B54" s="322"/>
      <c r="C54" s="774">
        <v>8609</v>
      </c>
      <c r="D54" s="775"/>
      <c r="E54" s="514"/>
      <c r="F54" s="368" t="str">
        <f>I289</f>
        <v>TBD</v>
      </c>
      <c r="G54" s="368" t="str">
        <f>J289</f>
        <v>TBD</v>
      </c>
      <c r="H54" s="772"/>
      <c r="I54" s="772"/>
      <c r="J54" s="772"/>
      <c r="K54" s="772"/>
      <c r="L54" s="772"/>
      <c r="M54" s="773"/>
      <c r="N54" s="322"/>
    </row>
    <row r="55" spans="2:14" s="300" customForma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515"/>
      <c r="F56" s="338"/>
      <c r="G56" s="338"/>
      <c r="H56" s="772"/>
      <c r="I56" s="772"/>
      <c r="J56" s="772"/>
      <c r="K56" s="772"/>
      <c r="L56" s="772"/>
      <c r="M56" s="773"/>
      <c r="N56" s="322"/>
    </row>
    <row r="57" spans="2:14" s="300" customFormat="1" ht="14">
      <c r="B57" s="322"/>
      <c r="C57" s="770" t="s">
        <v>522</v>
      </c>
      <c r="D57" s="771"/>
      <c r="E57" s="515"/>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Pullman Wheelworks</v>
      </c>
      <c r="J63" s="769"/>
      <c r="K63" s="17"/>
      <c r="L63" s="17"/>
      <c r="M63" s="8"/>
      <c r="N63" s="17"/>
    </row>
    <row r="64" spans="2:14" ht="16" thickBot="1">
      <c r="C64" s="308" t="s">
        <v>351</v>
      </c>
      <c r="D64" s="308"/>
      <c r="E64" s="308"/>
      <c r="F64" s="308"/>
      <c r="H64" s="363"/>
      <c r="I64" s="768" t="str">
        <f>F7</f>
        <v>Chicago</v>
      </c>
      <c r="J64" s="769"/>
      <c r="K64" s="17"/>
      <c r="L64" s="17"/>
      <c r="M64" s="8"/>
      <c r="N64" s="17"/>
    </row>
    <row r="65" spans="2:15" ht="16" thickBot="1">
      <c r="C65" s="308" t="s">
        <v>352</v>
      </c>
      <c r="D65" s="308"/>
      <c r="E65" s="308"/>
      <c r="F65" s="308"/>
      <c r="H65" s="363"/>
      <c r="I65" s="768" t="str">
        <f>C3</f>
        <v>L Brace</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t="s">
        <v>14</v>
      </c>
      <c r="J70" s="332" t="s">
        <v>14</v>
      </c>
    </row>
    <row r="71" spans="2:15">
      <c r="C71" s="2" t="s">
        <v>356</v>
      </c>
      <c r="D71" s="2"/>
      <c r="E71" s="2"/>
      <c r="F71" s="2"/>
      <c r="G71" s="2"/>
      <c r="H71" s="2"/>
      <c r="I71" s="332" t="s">
        <v>14</v>
      </c>
      <c r="J71" s="332" t="s">
        <v>14</v>
      </c>
    </row>
    <row r="72" spans="2:15">
      <c r="C72" s="2" t="s">
        <v>357</v>
      </c>
      <c r="D72" s="2"/>
      <c r="E72" s="2"/>
      <c r="F72" s="2"/>
      <c r="G72" s="2"/>
      <c r="H72" s="2"/>
      <c r="I72" s="332" t="s">
        <v>14</v>
      </c>
      <c r="J72" s="332" t="s">
        <v>14</v>
      </c>
    </row>
    <row r="73" spans="2:15">
      <c r="C73" s="2" t="s">
        <v>358</v>
      </c>
      <c r="D73" s="2"/>
      <c r="E73" s="2"/>
      <c r="F73" s="2"/>
      <c r="G73" s="2"/>
      <c r="H73" s="2"/>
      <c r="I73" s="332" t="s">
        <v>14</v>
      </c>
      <c r="J73" s="332" t="s">
        <v>14</v>
      </c>
    </row>
    <row r="74" spans="2:15">
      <c r="C74" s="312" t="s">
        <v>359</v>
      </c>
      <c r="D74" s="312"/>
      <c r="E74" s="312"/>
      <c r="F74" s="312"/>
      <c r="G74" s="312"/>
      <c r="H74" s="312"/>
      <c r="I74" s="332" t="s">
        <v>14</v>
      </c>
      <c r="J74" s="332" t="s">
        <v>14</v>
      </c>
    </row>
    <row r="75" spans="2:15">
      <c r="C75" s="2" t="s">
        <v>360</v>
      </c>
      <c r="D75" s="2"/>
      <c r="E75" s="2"/>
      <c r="F75" s="312"/>
      <c r="G75" s="312"/>
      <c r="H75" s="312"/>
      <c r="I75" s="332" t="s">
        <v>14</v>
      </c>
      <c r="J75" s="332" t="s">
        <v>14</v>
      </c>
    </row>
    <row r="76" spans="2:15">
      <c r="C76" s="2" t="s">
        <v>361</v>
      </c>
      <c r="D76" s="2"/>
      <c r="E76" s="2"/>
      <c r="F76" s="312"/>
      <c r="G76" s="312"/>
      <c r="H76" s="312"/>
      <c r="I76" s="332" t="s">
        <v>14</v>
      </c>
      <c r="J76" s="332" t="s">
        <v>14</v>
      </c>
    </row>
    <row r="77" spans="2:15">
      <c r="C77" s="2" t="s">
        <v>362</v>
      </c>
      <c r="D77" s="2"/>
      <c r="E77" s="2"/>
      <c r="F77" s="312"/>
      <c r="G77" s="312"/>
      <c r="H77" s="312"/>
      <c r="I77" s="534"/>
      <c r="J77" s="534"/>
    </row>
    <row r="78" spans="2:15">
      <c r="C78" s="312" t="s">
        <v>363</v>
      </c>
      <c r="D78" s="312"/>
      <c r="E78" s="312"/>
      <c r="F78" s="312"/>
      <c r="G78" s="312"/>
      <c r="H78" s="312"/>
      <c r="I78" s="332" t="s">
        <v>14</v>
      </c>
      <c r="J78" s="332" t="s">
        <v>14</v>
      </c>
    </row>
    <row r="79" spans="2:15">
      <c r="C79" s="312" t="s">
        <v>364</v>
      </c>
      <c r="D79" s="312"/>
      <c r="E79" s="312"/>
      <c r="F79" s="312"/>
      <c r="G79" s="312"/>
      <c r="H79" s="312"/>
      <c r="I79" s="332" t="s">
        <v>14</v>
      </c>
      <c r="J79" s="332" t="s">
        <v>14</v>
      </c>
    </row>
    <row r="80" spans="2:15">
      <c r="C80" s="312" t="s">
        <v>365</v>
      </c>
      <c r="D80" s="312"/>
      <c r="E80" s="312"/>
      <c r="F80" s="312"/>
      <c r="G80" s="312"/>
      <c r="H80" s="312"/>
      <c r="I80" s="332" t="s">
        <v>14</v>
      </c>
      <c r="J80" s="332" t="s">
        <v>14</v>
      </c>
    </row>
    <row r="81" spans="2:10">
      <c r="C81" s="315" t="s">
        <v>366</v>
      </c>
      <c r="D81" s="315"/>
      <c r="E81" s="315"/>
      <c r="F81" s="314"/>
      <c r="G81" s="314"/>
      <c r="H81" s="314"/>
      <c r="I81" s="332" t="s">
        <v>14</v>
      </c>
      <c r="J81" s="332" t="s">
        <v>14</v>
      </c>
    </row>
    <row r="82" spans="2:10">
      <c r="C82" s="2" t="s">
        <v>367</v>
      </c>
      <c r="D82" s="2"/>
      <c r="E82" s="2"/>
      <c r="F82" s="312"/>
      <c r="G82" s="312"/>
      <c r="H82" s="312"/>
      <c r="I82" s="534"/>
      <c r="J82" s="534"/>
    </row>
    <row r="83" spans="2:10">
      <c r="C83" s="312" t="s">
        <v>368</v>
      </c>
      <c r="D83" s="312"/>
      <c r="E83" s="312"/>
      <c r="F83" s="312"/>
      <c r="G83" s="312"/>
      <c r="H83" s="312"/>
      <c r="I83" s="332" t="s">
        <v>14</v>
      </c>
      <c r="J83" s="332" t="s">
        <v>14</v>
      </c>
    </row>
    <row r="84" spans="2:10">
      <c r="C84" s="312" t="s">
        <v>369</v>
      </c>
      <c r="D84" s="312"/>
      <c r="E84" s="312"/>
      <c r="F84" s="312"/>
      <c r="G84" s="312"/>
      <c r="H84" s="312"/>
      <c r="I84" s="332" t="s">
        <v>14</v>
      </c>
      <c r="J84" s="332" t="s">
        <v>14</v>
      </c>
    </row>
    <row r="85" spans="2:10">
      <c r="C85" s="312" t="s">
        <v>370</v>
      </c>
      <c r="D85" s="312"/>
      <c r="E85" s="312"/>
      <c r="F85" s="312"/>
      <c r="G85" s="312"/>
      <c r="H85" s="312"/>
      <c r="I85" s="332" t="s">
        <v>14</v>
      </c>
      <c r="J85" s="332" t="s">
        <v>14</v>
      </c>
    </row>
    <row r="86" spans="2:10">
      <c r="C86" s="2" t="s">
        <v>371</v>
      </c>
      <c r="D86" s="2"/>
      <c r="E86" s="2"/>
      <c r="F86" s="312"/>
      <c r="G86" s="312"/>
      <c r="H86" s="312"/>
      <c r="I86" s="332" t="s">
        <v>14</v>
      </c>
      <c r="J86" s="332" t="s">
        <v>14</v>
      </c>
    </row>
    <row r="87" spans="2:10">
      <c r="C87" s="2" t="s">
        <v>372</v>
      </c>
      <c r="D87" s="2"/>
      <c r="E87" s="2"/>
      <c r="F87" s="312"/>
      <c r="G87" s="312"/>
      <c r="H87" s="312"/>
      <c r="I87" s="332" t="s">
        <v>14</v>
      </c>
      <c r="J87" s="332" t="s">
        <v>14</v>
      </c>
    </row>
    <row r="88" spans="2:10">
      <c r="C88" s="2" t="s">
        <v>373</v>
      </c>
      <c r="D88" s="2"/>
      <c r="E88" s="2"/>
      <c r="F88" s="312"/>
      <c r="G88" s="312"/>
      <c r="H88" s="312"/>
      <c r="I88" s="332" t="s">
        <v>14</v>
      </c>
      <c r="J88" s="332" t="s">
        <v>14</v>
      </c>
    </row>
    <row r="89" spans="2:10">
      <c r="C89" s="2" t="s">
        <v>374</v>
      </c>
      <c r="D89" s="2"/>
      <c r="E89" s="2"/>
      <c r="F89" s="312"/>
      <c r="G89" s="312"/>
      <c r="H89" s="312"/>
      <c r="I89" s="332" t="s">
        <v>14</v>
      </c>
      <c r="J89" s="332" t="s">
        <v>14</v>
      </c>
    </row>
    <row r="90" spans="2:10">
      <c r="C90" s="2" t="s">
        <v>375</v>
      </c>
      <c r="D90" s="2"/>
      <c r="E90" s="2"/>
      <c r="F90" s="312"/>
      <c r="G90" s="312"/>
      <c r="H90" s="312"/>
      <c r="I90" s="332" t="s">
        <v>14</v>
      </c>
      <c r="J90" s="332" t="s">
        <v>14</v>
      </c>
    </row>
    <row r="91" spans="2:10">
      <c r="C91" s="2" t="s">
        <v>376</v>
      </c>
      <c r="D91" s="2"/>
      <c r="E91" s="2"/>
      <c r="F91" s="312"/>
      <c r="G91" s="312"/>
      <c r="H91" s="312"/>
      <c r="I91" s="332" t="s">
        <v>14</v>
      </c>
      <c r="J91" s="332" t="s">
        <v>14</v>
      </c>
    </row>
    <row r="92" spans="2:10">
      <c r="C92" s="308" t="s">
        <v>377</v>
      </c>
      <c r="D92" s="308"/>
      <c r="E92" s="308"/>
      <c r="F92" s="312"/>
      <c r="G92" s="312"/>
      <c r="H92" s="312"/>
      <c r="I92" s="364" t="s">
        <v>14</v>
      </c>
      <c r="J92" s="364" t="s">
        <v>14</v>
      </c>
    </row>
    <row r="93" spans="2:10">
      <c r="C93" s="2"/>
      <c r="D93" s="2"/>
      <c r="E93" s="2"/>
      <c r="F93" s="312"/>
      <c r="G93" s="312"/>
      <c r="H93" s="312"/>
      <c r="I93" s="331"/>
      <c r="J93" s="331"/>
    </row>
    <row r="94" spans="2:10">
      <c r="B94" s="309" t="s">
        <v>378</v>
      </c>
      <c r="C94" s="308"/>
      <c r="D94" s="308"/>
      <c r="E94" s="308"/>
      <c r="F94" s="313"/>
      <c r="G94" s="313"/>
      <c r="H94" s="313"/>
      <c r="I94" s="364" t="s">
        <v>14</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14</v>
      </c>
      <c r="J99" s="332" t="s">
        <v>14</v>
      </c>
    </row>
    <row r="100" spans="2:10">
      <c r="C100" s="2" t="s">
        <v>381</v>
      </c>
      <c r="D100" s="2"/>
      <c r="E100" s="2"/>
      <c r="F100" s="312"/>
      <c r="G100" s="312"/>
      <c r="H100" s="312"/>
      <c r="I100" s="332" t="s">
        <v>14</v>
      </c>
      <c r="J100" s="332" t="s">
        <v>14</v>
      </c>
    </row>
    <row r="101" spans="2:10">
      <c r="C101" s="2" t="s">
        <v>382</v>
      </c>
      <c r="D101" s="2"/>
      <c r="E101" s="2"/>
      <c r="F101" s="312"/>
      <c r="G101" s="312"/>
      <c r="H101" s="312"/>
      <c r="I101" s="332" t="s">
        <v>14</v>
      </c>
      <c r="J101" s="332" t="s">
        <v>14</v>
      </c>
    </row>
    <row r="102" spans="2:10">
      <c r="C102" s="308" t="s">
        <v>534</v>
      </c>
      <c r="D102" s="2"/>
      <c r="E102" s="2"/>
      <c r="F102" s="312"/>
      <c r="G102" s="312"/>
      <c r="H102" s="312"/>
      <c r="I102" s="364" t="s">
        <v>14</v>
      </c>
      <c r="J102" s="364" t="s">
        <v>14</v>
      </c>
    </row>
    <row r="103" spans="2:10">
      <c r="C103" s="2" t="s">
        <v>524</v>
      </c>
      <c r="D103" s="2"/>
      <c r="E103" s="2"/>
      <c r="F103" s="312"/>
      <c r="G103" s="312"/>
      <c r="H103" s="312"/>
      <c r="I103" s="332" t="s">
        <v>14</v>
      </c>
      <c r="J103" s="332" t="s">
        <v>14</v>
      </c>
    </row>
    <row r="104" spans="2:10">
      <c r="C104" s="2" t="s">
        <v>383</v>
      </c>
      <c r="D104" s="2"/>
      <c r="E104" s="2"/>
      <c r="F104" s="312"/>
      <c r="G104" s="312"/>
      <c r="H104" s="312"/>
      <c r="I104" s="332">
        <v>41090</v>
      </c>
      <c r="J104" s="332" t="s">
        <v>14</v>
      </c>
    </row>
    <row r="105" spans="2:10">
      <c r="C105" s="2" t="s">
        <v>384</v>
      </c>
      <c r="D105" s="2"/>
      <c r="E105" s="2"/>
      <c r="F105" s="312"/>
      <c r="G105" s="312"/>
      <c r="H105" s="312"/>
      <c r="I105" s="332" t="s">
        <v>14</v>
      </c>
      <c r="J105" s="332" t="s">
        <v>14</v>
      </c>
    </row>
    <row r="106" spans="2:10">
      <c r="C106" s="2" t="s">
        <v>544</v>
      </c>
      <c r="D106" s="2"/>
      <c r="E106" s="2"/>
      <c r="F106" s="312"/>
      <c r="G106" s="312"/>
      <c r="H106" s="312"/>
      <c r="I106" s="535">
        <v>41091</v>
      </c>
      <c r="J106" s="332" t="s">
        <v>14</v>
      </c>
    </row>
    <row r="107" spans="2:10">
      <c r="C107" s="2" t="s">
        <v>385</v>
      </c>
      <c r="D107" s="2"/>
      <c r="E107" s="2"/>
      <c r="F107" s="312"/>
      <c r="G107" s="312"/>
      <c r="H107" s="312"/>
      <c r="I107" s="332">
        <v>41274</v>
      </c>
      <c r="J107" s="332" t="s">
        <v>14</v>
      </c>
    </row>
    <row r="108" spans="2:10">
      <c r="C108" s="2" t="s">
        <v>386</v>
      </c>
      <c r="D108" s="2"/>
      <c r="E108" s="2"/>
      <c r="F108" s="312"/>
      <c r="G108" s="312"/>
      <c r="H108" s="312"/>
      <c r="I108" s="332" t="s">
        <v>14</v>
      </c>
      <c r="J108" s="332" t="s">
        <v>14</v>
      </c>
    </row>
    <row r="109" spans="2:10">
      <c r="C109" s="2" t="s">
        <v>523</v>
      </c>
      <c r="D109" s="2"/>
      <c r="E109" s="2"/>
      <c r="F109" s="312"/>
      <c r="G109" s="312"/>
      <c r="H109" s="312"/>
      <c r="I109" s="332" t="s">
        <v>14</v>
      </c>
      <c r="J109" s="332" t="s">
        <v>14</v>
      </c>
    </row>
    <row r="110" spans="2:10">
      <c r="C110" s="308" t="s">
        <v>526</v>
      </c>
      <c r="D110" s="2"/>
      <c r="E110" s="2"/>
      <c r="F110" s="312"/>
      <c r="G110" s="312"/>
      <c r="H110" s="312"/>
      <c r="I110" s="364">
        <v>41274</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t="s">
        <v>14</v>
      </c>
      <c r="J115" s="332" t="s">
        <v>14</v>
      </c>
    </row>
    <row r="116" spans="3:10">
      <c r="C116" s="315" t="s">
        <v>342</v>
      </c>
      <c r="D116" s="315"/>
      <c r="E116" s="315"/>
      <c r="F116" s="315"/>
      <c r="G116" s="315"/>
      <c r="H116" s="315"/>
      <c r="I116" s="332" t="s">
        <v>14</v>
      </c>
      <c r="J116" s="332" t="s">
        <v>14</v>
      </c>
    </row>
    <row r="117" spans="3:10">
      <c r="C117" s="315" t="s">
        <v>390</v>
      </c>
      <c r="D117" s="315"/>
      <c r="E117" s="315"/>
      <c r="F117" s="315"/>
      <c r="G117" s="315"/>
      <c r="H117" s="315"/>
      <c r="I117" s="332" t="s">
        <v>14</v>
      </c>
      <c r="J117" s="332" t="s">
        <v>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t="s">
        <v>14</v>
      </c>
      <c r="J120" s="332" t="s">
        <v>14</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534"/>
      <c r="J123" s="534"/>
    </row>
    <row r="124" spans="3:10">
      <c r="C124" s="315" t="s">
        <v>392</v>
      </c>
      <c r="D124" s="315"/>
      <c r="E124" s="315"/>
      <c r="F124" s="315"/>
      <c r="G124" s="315"/>
      <c r="H124" s="315"/>
      <c r="I124" s="332" t="s">
        <v>14</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534"/>
      <c r="J128" s="534"/>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t="s">
        <v>14</v>
      </c>
      <c r="J134" s="332" t="s">
        <v>14</v>
      </c>
    </row>
    <row r="135" spans="2:10">
      <c r="C135" s="2" t="s">
        <v>398</v>
      </c>
      <c r="D135" s="2"/>
      <c r="E135" s="2"/>
      <c r="F135" s="312"/>
      <c r="G135" s="312"/>
      <c r="H135" s="312"/>
      <c r="I135" s="332" t="s">
        <v>14</v>
      </c>
      <c r="J135" s="332" t="s">
        <v>14</v>
      </c>
    </row>
    <row r="136" spans="2:10">
      <c r="C136" s="2" t="s">
        <v>399</v>
      </c>
      <c r="D136" s="2"/>
      <c r="E136" s="2"/>
      <c r="F136" s="312"/>
      <c r="G136" s="312"/>
      <c r="H136" s="312"/>
      <c r="I136" s="332" t="s">
        <v>14</v>
      </c>
      <c r="J136" s="332" t="s">
        <v>14</v>
      </c>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332" t="s">
        <v>14</v>
      </c>
      <c r="J139" s="332" t="s">
        <v>14</v>
      </c>
    </row>
    <row r="140" spans="2:10">
      <c r="C140" s="2" t="s">
        <v>402</v>
      </c>
      <c r="D140" s="2"/>
      <c r="E140" s="2"/>
      <c r="F140" s="312"/>
      <c r="G140" s="312"/>
      <c r="H140" s="312"/>
      <c r="I140" s="332" t="s">
        <v>14</v>
      </c>
      <c r="J140" s="332" t="s">
        <v>14</v>
      </c>
    </row>
    <row r="141" spans="2:10">
      <c r="C141" s="312" t="s">
        <v>403</v>
      </c>
      <c r="D141" s="312"/>
      <c r="E141" s="312"/>
      <c r="F141" s="312"/>
      <c r="G141" s="312"/>
      <c r="H141" s="312"/>
      <c r="I141" s="332" t="s">
        <v>14</v>
      </c>
      <c r="J141" s="332" t="s">
        <v>14</v>
      </c>
    </row>
    <row r="142" spans="2:10">
      <c r="C142" s="312" t="s">
        <v>404</v>
      </c>
      <c r="D142" s="312"/>
      <c r="E142" s="312"/>
      <c r="F142" s="312"/>
      <c r="G142" s="312"/>
      <c r="H142" s="312"/>
      <c r="I142" s="332" t="s">
        <v>14</v>
      </c>
      <c r="J142" s="332" t="s">
        <v>14</v>
      </c>
    </row>
    <row r="143" spans="2:10">
      <c r="C143" s="312" t="s">
        <v>405</v>
      </c>
      <c r="D143" s="312"/>
      <c r="E143" s="312"/>
      <c r="F143" s="312"/>
      <c r="G143" s="312"/>
      <c r="H143" s="312"/>
      <c r="I143" s="332" t="s">
        <v>14</v>
      </c>
      <c r="J143" s="332" t="s">
        <v>14</v>
      </c>
    </row>
    <row r="144" spans="2:10">
      <c r="C144" s="2" t="s">
        <v>406</v>
      </c>
      <c r="D144" s="2"/>
      <c r="E144" s="2"/>
      <c r="F144" s="312"/>
      <c r="G144" s="312"/>
      <c r="H144" s="312"/>
      <c r="I144" s="332" t="s">
        <v>14</v>
      </c>
      <c r="J144" s="332" t="s">
        <v>14</v>
      </c>
    </row>
    <row r="145" spans="3:10">
      <c r="C145" s="2" t="s">
        <v>407</v>
      </c>
      <c r="D145" s="2"/>
      <c r="E145" s="2"/>
      <c r="F145" s="312"/>
      <c r="G145" s="312"/>
      <c r="H145" s="312"/>
      <c r="I145" s="332" t="s">
        <v>14</v>
      </c>
      <c r="J145" s="332" t="s">
        <v>14</v>
      </c>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2" t="s">
        <v>14</v>
      </c>
      <c r="J148" s="332" t="s">
        <v>14</v>
      </c>
    </row>
    <row r="149" spans="3:10">
      <c r="C149" s="312" t="s">
        <v>411</v>
      </c>
      <c r="D149" s="312"/>
      <c r="E149" s="312"/>
      <c r="F149" s="312"/>
      <c r="G149" s="312"/>
      <c r="H149" s="312"/>
      <c r="I149" s="332" t="s">
        <v>14</v>
      </c>
      <c r="J149" s="332" t="s">
        <v>14</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2" t="s">
        <v>14</v>
      </c>
      <c r="J154" s="332" t="s">
        <v>14</v>
      </c>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2" t="s">
        <v>14</v>
      </c>
      <c r="J156" s="332" t="s">
        <v>14</v>
      </c>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2" t="s">
        <v>14</v>
      </c>
      <c r="J162" s="332" t="s">
        <v>14</v>
      </c>
    </row>
    <row r="163" spans="3:10">
      <c r="C163" s="312" t="s">
        <v>425</v>
      </c>
      <c r="D163" s="312"/>
      <c r="E163" s="312"/>
      <c r="F163" s="312"/>
      <c r="G163" s="312"/>
      <c r="H163" s="312"/>
      <c r="I163" s="332" t="s">
        <v>14</v>
      </c>
      <c r="J163" s="332" t="s">
        <v>14</v>
      </c>
    </row>
    <row r="164" spans="3:10">
      <c r="C164" s="312" t="s">
        <v>426</v>
      </c>
      <c r="D164" s="312"/>
      <c r="E164" s="312"/>
      <c r="F164" s="312"/>
      <c r="G164" s="312"/>
      <c r="H164" s="312"/>
      <c r="I164" s="332" t="s">
        <v>14</v>
      </c>
      <c r="J164" s="332" t="s">
        <v>14</v>
      </c>
    </row>
    <row r="165" spans="3:10">
      <c r="C165" s="315" t="s">
        <v>427</v>
      </c>
      <c r="D165" s="315"/>
      <c r="E165" s="315"/>
      <c r="F165" s="315"/>
      <c r="G165" s="315"/>
      <c r="H165" s="315"/>
      <c r="I165" s="332" t="s">
        <v>14</v>
      </c>
      <c r="J165" s="332" t="s">
        <v>14</v>
      </c>
    </row>
    <row r="166" spans="3:10">
      <c r="C166" s="315" t="s">
        <v>428</v>
      </c>
      <c r="D166" s="315"/>
      <c r="E166" s="315"/>
      <c r="F166" s="315"/>
      <c r="G166" s="315"/>
      <c r="H166" s="315"/>
      <c r="I166" s="332" t="s">
        <v>14</v>
      </c>
      <c r="J166" s="332" t="s">
        <v>14</v>
      </c>
    </row>
    <row r="167" spans="3:10">
      <c r="C167" s="312" t="s">
        <v>429</v>
      </c>
      <c r="D167" s="312"/>
      <c r="E167" s="312"/>
      <c r="F167" s="312"/>
      <c r="G167" s="312"/>
      <c r="H167" s="312"/>
      <c r="I167" s="332" t="s">
        <v>14</v>
      </c>
      <c r="J167" s="332" t="s">
        <v>14</v>
      </c>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2" t="s">
        <v>14</v>
      </c>
      <c r="J170" s="332" t="s">
        <v>14</v>
      </c>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2" t="s">
        <v>14</v>
      </c>
      <c r="J173" s="332" t="s">
        <v>14</v>
      </c>
    </row>
    <row r="174" spans="3:10">
      <c r="C174" s="315" t="s">
        <v>432</v>
      </c>
      <c r="D174" s="315"/>
      <c r="E174" s="315"/>
      <c r="F174" s="315"/>
      <c r="G174" s="315"/>
      <c r="H174" s="315"/>
      <c r="I174" s="332" t="s">
        <v>14</v>
      </c>
      <c r="J174" s="332" t="s">
        <v>14</v>
      </c>
    </row>
    <row r="175" spans="3:10">
      <c r="C175" s="315" t="s">
        <v>433</v>
      </c>
      <c r="D175" s="315"/>
      <c r="E175" s="315"/>
      <c r="F175" s="315"/>
      <c r="G175" s="315"/>
      <c r="H175" s="315"/>
      <c r="I175" s="332" t="s">
        <v>14</v>
      </c>
      <c r="J175" s="332" t="s">
        <v>14</v>
      </c>
    </row>
    <row r="176" spans="3:10">
      <c r="C176" s="315" t="s">
        <v>434</v>
      </c>
      <c r="D176" s="315"/>
      <c r="E176" s="315"/>
      <c r="F176" s="315"/>
      <c r="G176" s="315"/>
      <c r="H176" s="315"/>
      <c r="I176" s="332" t="s">
        <v>14</v>
      </c>
      <c r="J176" s="332" t="s">
        <v>14</v>
      </c>
    </row>
    <row r="177" spans="3:10">
      <c r="C177" s="315" t="s">
        <v>435</v>
      </c>
      <c r="D177" s="315"/>
      <c r="E177" s="315"/>
      <c r="F177" s="315"/>
      <c r="G177" s="315"/>
      <c r="H177" s="315"/>
      <c r="I177" s="332" t="s">
        <v>14</v>
      </c>
      <c r="J177" s="332" t="s">
        <v>14</v>
      </c>
    </row>
    <row r="178" spans="3:10">
      <c r="C178" s="310" t="s">
        <v>422</v>
      </c>
      <c r="D178" s="310"/>
      <c r="E178" s="310"/>
      <c r="F178" s="312"/>
      <c r="G178" s="312"/>
      <c r="H178" s="312"/>
      <c r="I178" s="332" t="s">
        <v>14</v>
      </c>
      <c r="J178" s="332" t="s">
        <v>14</v>
      </c>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2" t="s">
        <v>14</v>
      </c>
      <c r="J187" s="332" t="s">
        <v>14</v>
      </c>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2" t="s">
        <v>14</v>
      </c>
      <c r="J193" s="332" t="s">
        <v>14</v>
      </c>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2" t="s">
        <v>14</v>
      </c>
      <c r="J210" s="332" t="s">
        <v>14</v>
      </c>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v>40892</v>
      </c>
      <c r="J225" s="364">
        <v>40892</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535">
        <v>40954</v>
      </c>
    </row>
    <row r="231" spans="2:10">
      <c r="C231" s="312" t="s">
        <v>477</v>
      </c>
      <c r="D231" s="312"/>
      <c r="E231" s="312"/>
      <c r="F231" s="312"/>
      <c r="G231" s="312"/>
      <c r="H231" s="312"/>
      <c r="I231" s="332" t="s">
        <v>14</v>
      </c>
      <c r="J231" s="535">
        <v>40954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v>40908</v>
      </c>
      <c r="J235" s="364">
        <v>40908</v>
      </c>
    </row>
    <row r="236" spans="2:10">
      <c r="C236" s="308" t="s">
        <v>480</v>
      </c>
      <c r="D236" s="2"/>
      <c r="E236" s="2"/>
      <c r="F236" s="312"/>
      <c r="G236" s="312"/>
      <c r="H236" s="312"/>
      <c r="I236" s="535">
        <v>40954</v>
      </c>
      <c r="J236" s="332" t="s">
        <v>14</v>
      </c>
    </row>
    <row r="237" spans="2:10">
      <c r="C237" s="2" t="s">
        <v>481</v>
      </c>
      <c r="D237" s="2"/>
      <c r="E237" s="2"/>
      <c r="F237" s="312"/>
      <c r="G237" s="312"/>
      <c r="H237" s="312"/>
      <c r="I237" s="536">
        <v>40923</v>
      </c>
      <c r="J237" s="536">
        <v>40923</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67</v>
      </c>
      <c r="J253" s="332" t="s">
        <v>67</v>
      </c>
    </row>
    <row r="254" spans="2:10">
      <c r="C254" s="308" t="s">
        <v>539</v>
      </c>
      <c r="D254" s="2"/>
      <c r="E254" s="2"/>
      <c r="F254" s="312"/>
      <c r="G254" s="312"/>
      <c r="H254" s="312"/>
      <c r="I254" s="536">
        <v>40786</v>
      </c>
      <c r="J254" s="536">
        <v>40786</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14</v>
      </c>
      <c r="J267" s="332" t="s">
        <v>14</v>
      </c>
    </row>
    <row r="268" spans="2:10">
      <c r="C268" s="312" t="s">
        <v>495</v>
      </c>
      <c r="D268" s="312"/>
      <c r="E268" s="312"/>
      <c r="F268" s="312"/>
      <c r="G268" s="312"/>
      <c r="H268" s="312"/>
      <c r="I268" s="332" t="s">
        <v>14</v>
      </c>
      <c r="J268" s="332" t="s">
        <v>14</v>
      </c>
    </row>
    <row r="269" spans="2:10">
      <c r="C269" s="312" t="s">
        <v>496</v>
      </c>
      <c r="D269" s="312"/>
      <c r="E269" s="312"/>
      <c r="F269" s="312"/>
      <c r="G269" s="312"/>
      <c r="H269" s="312"/>
      <c r="I269" s="332" t="s">
        <v>14</v>
      </c>
      <c r="J269" s="332" t="s">
        <v>14</v>
      </c>
    </row>
    <row r="270" spans="2:10">
      <c r="C270" s="312" t="s">
        <v>497</v>
      </c>
      <c r="D270" s="312"/>
      <c r="E270" s="312"/>
      <c r="F270" s="312"/>
      <c r="G270" s="312"/>
      <c r="H270" s="312"/>
      <c r="I270" s="332" t="s">
        <v>14</v>
      </c>
      <c r="J270" s="332" t="s">
        <v>14</v>
      </c>
    </row>
    <row r="271" spans="2:10">
      <c r="C271" s="312" t="s">
        <v>498</v>
      </c>
      <c r="D271" s="312"/>
      <c r="E271" s="312"/>
      <c r="F271" s="312"/>
      <c r="G271" s="312"/>
      <c r="H271" s="312"/>
      <c r="I271" s="332" t="s">
        <v>14</v>
      </c>
      <c r="J271" s="332" t="s">
        <v>14</v>
      </c>
    </row>
    <row r="272" spans="2:10">
      <c r="C272" s="312" t="s">
        <v>499</v>
      </c>
      <c r="D272" s="312"/>
      <c r="E272" s="312"/>
      <c r="F272" s="312"/>
      <c r="G272" s="312"/>
      <c r="H272" s="312"/>
      <c r="I272" s="332" t="s">
        <v>14</v>
      </c>
      <c r="J272" s="332" t="s">
        <v>14</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I291" s="2"/>
      <c r="J291" s="7"/>
      <c r="K291" s="2"/>
      <c r="L291" s="2"/>
      <c r="M291" s="301"/>
      <c r="N291" s="2"/>
      <c r="O291" s="301"/>
    </row>
  </sheetData>
  <sheetProtection selectLockedCells="1"/>
  <mergeCells count="109">
    <mergeCell ref="I65:J65"/>
    <mergeCell ref="C57:D57"/>
    <mergeCell ref="H57:M57"/>
    <mergeCell ref="C58:D58"/>
    <mergeCell ref="H58:M58"/>
    <mergeCell ref="I63:J63"/>
    <mergeCell ref="I64:J64"/>
    <mergeCell ref="C54:D54"/>
    <mergeCell ref="H54:M54"/>
    <mergeCell ref="C55:D55"/>
    <mergeCell ref="H55:M55"/>
    <mergeCell ref="C56:D56"/>
    <mergeCell ref="H56:M56"/>
    <mergeCell ref="C51:D51"/>
    <mergeCell ref="H51:M51"/>
    <mergeCell ref="C52:D52"/>
    <mergeCell ref="H52:M52"/>
    <mergeCell ref="C53:D53"/>
    <mergeCell ref="H53:M53"/>
    <mergeCell ref="C48:D48"/>
    <mergeCell ref="H48:M48"/>
    <mergeCell ref="C49:D49"/>
    <mergeCell ref="H49:M49"/>
    <mergeCell ref="C50:D50"/>
    <mergeCell ref="H50:M50"/>
    <mergeCell ref="C45:D45"/>
    <mergeCell ref="H45:M45"/>
    <mergeCell ref="C46:D46"/>
    <mergeCell ref="H46:M46"/>
    <mergeCell ref="C47:D47"/>
    <mergeCell ref="H47:M47"/>
    <mergeCell ref="C42:D42"/>
    <mergeCell ref="H42:M42"/>
    <mergeCell ref="C43:D43"/>
    <mergeCell ref="H43:M43"/>
    <mergeCell ref="C44:D44"/>
    <mergeCell ref="H44:M44"/>
    <mergeCell ref="C39:D39"/>
    <mergeCell ref="H39:M39"/>
    <mergeCell ref="C40:D40"/>
    <mergeCell ref="H40:M40"/>
    <mergeCell ref="C41:D41"/>
    <mergeCell ref="H41:M41"/>
    <mergeCell ref="C24:D24"/>
    <mergeCell ref="F24:G24"/>
    <mergeCell ref="K24:M24"/>
    <mergeCell ref="C27:M34"/>
    <mergeCell ref="H37:M37"/>
    <mergeCell ref="C38:D38"/>
    <mergeCell ref="H38:M38"/>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3F52B"/>
  </sheetPr>
  <dimension ref="A1:Q40"/>
  <sheetViews>
    <sheetView workbookViewId="0">
      <selection activeCell="S15" sqref="S15"/>
    </sheetView>
  </sheetViews>
  <sheetFormatPr baseColWidth="10" defaultColWidth="9.1640625" defaultRowHeight="15"/>
  <cols>
    <col min="1" max="1" width="5" style="2" customWidth="1"/>
    <col min="2" max="2" width="8.1640625" style="2" customWidth="1"/>
    <col min="3" max="3" width="7.5" style="2" customWidth="1"/>
    <col min="4" max="4" width="11" style="584" customWidth="1"/>
    <col min="5" max="5" width="9.1640625" style="585"/>
    <col min="6" max="6" width="10.5" style="584" customWidth="1"/>
    <col min="7" max="8" width="9.1640625" style="2"/>
    <col min="9" max="9" width="3" style="2" customWidth="1"/>
    <col min="10" max="11" width="9.1640625" style="2" hidden="1" customWidth="1"/>
    <col min="12" max="12" width="2.1640625" style="2" customWidth="1"/>
    <col min="13" max="14" width="9.1640625" style="2"/>
    <col min="15" max="15" width="12.5" style="2" customWidth="1"/>
    <col min="16" max="16" width="15.33203125" style="2" customWidth="1"/>
    <col min="17" max="17" width="6.33203125" style="2" customWidth="1"/>
    <col min="18" max="16384" width="9.1640625" style="2"/>
  </cols>
  <sheetData>
    <row r="1" spans="1:17" ht="16" thickBot="1">
      <c r="A1" s="575" t="s">
        <v>767</v>
      </c>
      <c r="D1" s="576" t="s">
        <v>629</v>
      </c>
      <c r="E1" s="577" t="s">
        <v>630</v>
      </c>
      <c r="F1" s="576" t="s">
        <v>631</v>
      </c>
      <c r="L1" s="601"/>
      <c r="M1" s="602" t="s">
        <v>768</v>
      </c>
      <c r="N1" s="603"/>
      <c r="O1" s="603"/>
      <c r="P1" s="603"/>
      <c r="Q1" s="604"/>
    </row>
    <row r="2" spans="1:17" ht="16" thickBot="1">
      <c r="A2" s="578" t="s">
        <v>632</v>
      </c>
      <c r="B2" s="578"/>
      <c r="C2" s="578"/>
      <c r="D2" s="579">
        <v>0</v>
      </c>
      <c r="E2" s="580">
        <v>0</v>
      </c>
      <c r="F2" s="579">
        <f>D2*(1-E2)</f>
        <v>0</v>
      </c>
      <c r="L2" s="605"/>
      <c r="M2" s="606" t="s">
        <v>769</v>
      </c>
      <c r="N2" s="606"/>
      <c r="O2" s="606"/>
      <c r="P2" s="607">
        <v>2976286</v>
      </c>
      <c r="Q2" s="608"/>
    </row>
    <row r="3" spans="1:17" s="7" customFormat="1">
      <c r="A3" s="581"/>
      <c r="B3" s="581" t="s">
        <v>770</v>
      </c>
      <c r="C3" s="581"/>
      <c r="D3" s="582"/>
      <c r="E3" s="583"/>
      <c r="F3" s="582"/>
      <c r="L3" s="609"/>
      <c r="M3" s="5" t="s">
        <v>771</v>
      </c>
      <c r="N3" s="610">
        <v>0.67</v>
      </c>
      <c r="O3" s="5"/>
      <c r="P3" s="611">
        <f>N3*P2</f>
        <v>1994111.62</v>
      </c>
      <c r="Q3" s="612"/>
    </row>
    <row r="4" spans="1:17">
      <c r="B4" s="591" t="s">
        <v>772</v>
      </c>
      <c r="C4" s="592"/>
      <c r="D4" s="592"/>
      <c r="E4" s="592"/>
      <c r="F4" s="592"/>
      <c r="G4" s="592"/>
      <c r="H4" s="592"/>
      <c r="I4" s="592"/>
      <c r="J4" s="592"/>
      <c r="K4" s="592"/>
      <c r="L4" s="613"/>
      <c r="M4" s="5" t="s">
        <v>560</v>
      </c>
      <c r="N4" s="610">
        <v>0.33</v>
      </c>
      <c r="O4" s="5"/>
      <c r="P4" s="611">
        <f>N4*P2</f>
        <v>982174.38</v>
      </c>
      <c r="Q4" s="612"/>
    </row>
    <row r="5" spans="1:17">
      <c r="B5" s="588"/>
      <c r="C5" s="839" t="s">
        <v>773</v>
      </c>
      <c r="D5" s="839"/>
      <c r="E5" s="839"/>
      <c r="F5" s="839"/>
      <c r="G5" s="839"/>
      <c r="H5" s="839"/>
      <c r="I5" s="839"/>
      <c r="J5" s="839"/>
      <c r="K5" s="839"/>
      <c r="L5" s="613"/>
      <c r="M5" s="5"/>
      <c r="N5" s="5"/>
      <c r="O5" s="5"/>
      <c r="P5" s="5"/>
      <c r="Q5" s="612"/>
    </row>
    <row r="6" spans="1:17">
      <c r="B6" s="588"/>
      <c r="C6" s="595"/>
      <c r="D6" s="595"/>
      <c r="E6" s="595"/>
      <c r="F6" s="595"/>
      <c r="G6" s="595"/>
      <c r="H6" s="595"/>
      <c r="I6" s="595"/>
      <c r="J6" s="595"/>
      <c r="K6" s="595"/>
      <c r="L6" s="609"/>
      <c r="M6" s="614" t="s">
        <v>774</v>
      </c>
      <c r="N6" s="5"/>
      <c r="O6" s="5"/>
      <c r="P6" s="5"/>
      <c r="Q6" s="612"/>
    </row>
    <row r="7" spans="1:17">
      <c r="B7" s="591" t="s">
        <v>775</v>
      </c>
      <c r="C7" s="592"/>
      <c r="D7" s="592"/>
      <c r="E7" s="592"/>
      <c r="F7" s="592"/>
      <c r="G7" s="592"/>
      <c r="H7" s="592"/>
      <c r="I7" s="592"/>
      <c r="J7" s="592"/>
      <c r="K7" s="592"/>
      <c r="L7" s="613"/>
      <c r="M7" s="615" t="s">
        <v>776</v>
      </c>
      <c r="N7" s="616"/>
      <c r="O7" s="617"/>
      <c r="P7" s="618">
        <v>0.3</v>
      </c>
      <c r="Q7" s="612"/>
    </row>
    <row r="8" spans="1:17">
      <c r="B8" s="588"/>
      <c r="C8" s="845" t="s">
        <v>777</v>
      </c>
      <c r="D8" s="839"/>
      <c r="E8" s="839"/>
      <c r="F8" s="839"/>
      <c r="G8" s="839"/>
      <c r="H8" s="839"/>
      <c r="I8" s="839"/>
      <c r="J8" s="839"/>
      <c r="K8" s="839"/>
      <c r="L8" s="613"/>
      <c r="M8" s="615" t="s">
        <v>778</v>
      </c>
      <c r="N8" s="615"/>
      <c r="O8" s="615"/>
      <c r="P8" s="618">
        <v>0.5</v>
      </c>
      <c r="Q8" s="612"/>
    </row>
    <row r="9" spans="1:17">
      <c r="B9" s="588" t="s">
        <v>636</v>
      </c>
      <c r="C9" s="839" t="s">
        <v>779</v>
      </c>
      <c r="D9" s="839"/>
      <c r="E9" s="839"/>
      <c r="F9" s="839"/>
      <c r="G9" s="839"/>
      <c r="H9" s="839"/>
      <c r="I9" s="839"/>
      <c r="J9" s="839"/>
      <c r="K9" s="839"/>
      <c r="L9" s="613"/>
      <c r="M9" s="619" t="s">
        <v>780</v>
      </c>
      <c r="N9" s="619"/>
      <c r="O9" s="619"/>
      <c r="P9" s="620">
        <v>0.2</v>
      </c>
      <c r="Q9" s="612"/>
    </row>
    <row r="10" spans="1:17" ht="30" customHeight="1">
      <c r="B10" s="588" t="s">
        <v>638</v>
      </c>
      <c r="C10" s="839" t="s">
        <v>781</v>
      </c>
      <c r="D10" s="839"/>
      <c r="E10" s="839"/>
      <c r="F10" s="839"/>
      <c r="G10" s="839"/>
      <c r="H10" s="839"/>
      <c r="I10" s="839"/>
      <c r="J10" s="839"/>
      <c r="K10" s="839"/>
      <c r="L10" s="613"/>
      <c r="M10" s="5"/>
      <c r="N10" s="5"/>
      <c r="O10" s="5"/>
      <c r="P10" s="5"/>
      <c r="Q10" s="612"/>
    </row>
    <row r="11" spans="1:17">
      <c r="B11" s="588" t="s">
        <v>640</v>
      </c>
      <c r="C11" s="839" t="s">
        <v>782</v>
      </c>
      <c r="D11" s="839"/>
      <c r="E11" s="839"/>
      <c r="F11" s="839"/>
      <c r="G11" s="839"/>
      <c r="H11" s="839"/>
      <c r="I11" s="839"/>
      <c r="J11" s="839"/>
      <c r="K11" s="839"/>
      <c r="L11" s="613"/>
      <c r="M11" s="621" t="s">
        <v>783</v>
      </c>
      <c r="N11" s="5"/>
      <c r="O11" s="5"/>
      <c r="P11" s="5"/>
      <c r="Q11" s="612"/>
    </row>
    <row r="12" spans="1:17">
      <c r="B12" s="588" t="s">
        <v>642</v>
      </c>
      <c r="C12" s="839" t="s">
        <v>784</v>
      </c>
      <c r="D12" s="839"/>
      <c r="E12" s="839"/>
      <c r="F12" s="839"/>
      <c r="G12" s="839"/>
      <c r="H12" s="839"/>
      <c r="I12" s="839"/>
      <c r="J12" s="839"/>
      <c r="K12" s="839"/>
      <c r="L12" s="613"/>
      <c r="M12" s="5" t="s">
        <v>785</v>
      </c>
      <c r="N12" s="5"/>
      <c r="O12" s="5"/>
      <c r="P12" s="5"/>
      <c r="Q12" s="612"/>
    </row>
    <row r="13" spans="1:17">
      <c r="B13" s="588" t="s">
        <v>644</v>
      </c>
      <c r="C13" s="839" t="s">
        <v>786</v>
      </c>
      <c r="D13" s="839"/>
      <c r="E13" s="839"/>
      <c r="F13" s="839"/>
      <c r="G13" s="839"/>
      <c r="H13" s="839"/>
      <c r="I13" s="839"/>
      <c r="J13" s="839"/>
      <c r="K13" s="839"/>
      <c r="L13" s="613"/>
      <c r="M13" s="5" t="s">
        <v>787</v>
      </c>
      <c r="N13" s="5"/>
      <c r="O13" s="5"/>
      <c r="P13" s="5"/>
      <c r="Q13" s="612"/>
    </row>
    <row r="14" spans="1:17">
      <c r="B14" s="588" t="s">
        <v>646</v>
      </c>
      <c r="C14" s="839" t="s">
        <v>788</v>
      </c>
      <c r="D14" s="839"/>
      <c r="E14" s="839"/>
      <c r="F14" s="839"/>
      <c r="G14" s="839"/>
      <c r="H14" s="839"/>
      <c r="I14" s="839"/>
      <c r="J14" s="839"/>
      <c r="K14" s="839"/>
      <c r="L14" s="613"/>
      <c r="M14" s="622"/>
      <c r="N14" s="5"/>
      <c r="O14" s="5"/>
      <c r="P14" s="5"/>
      <c r="Q14" s="612"/>
    </row>
    <row r="15" spans="1:17">
      <c r="B15" s="588" t="s">
        <v>648</v>
      </c>
      <c r="C15" s="846" t="s">
        <v>789</v>
      </c>
      <c r="D15" s="839"/>
      <c r="E15" s="839"/>
      <c r="F15" s="839"/>
      <c r="G15" s="839"/>
      <c r="H15" s="839"/>
      <c r="I15" s="839"/>
      <c r="J15" s="839"/>
      <c r="K15" s="839"/>
      <c r="L15" s="613"/>
      <c r="M15" s="5" t="s">
        <v>790</v>
      </c>
      <c r="N15" s="5"/>
      <c r="O15" s="5"/>
      <c r="P15" s="5"/>
      <c r="Q15" s="612"/>
    </row>
    <row r="16" spans="1:17">
      <c r="B16" s="588"/>
      <c r="C16" s="623"/>
      <c r="D16" s="595"/>
      <c r="E16" s="595"/>
      <c r="F16" s="595"/>
      <c r="G16" s="595"/>
      <c r="H16" s="595"/>
      <c r="I16" s="595"/>
      <c r="J16" s="595"/>
      <c r="K16" s="595"/>
      <c r="L16" s="609"/>
      <c r="M16" s="5" t="s">
        <v>791</v>
      </c>
      <c r="N16" s="5"/>
      <c r="O16" s="5"/>
      <c r="P16" s="5"/>
      <c r="Q16" s="612"/>
    </row>
    <row r="17" spans="2:17">
      <c r="B17" s="591" t="s">
        <v>792</v>
      </c>
      <c r="C17" s="592"/>
      <c r="D17" s="592"/>
      <c r="E17" s="592"/>
      <c r="F17" s="592"/>
      <c r="G17" s="592"/>
      <c r="H17" s="592"/>
      <c r="I17" s="592"/>
      <c r="J17" s="592"/>
      <c r="K17" s="592"/>
      <c r="L17" s="613"/>
      <c r="M17" s="5"/>
      <c r="N17" s="5"/>
      <c r="O17" s="5"/>
      <c r="P17" s="5"/>
      <c r="Q17" s="612"/>
    </row>
    <row r="18" spans="2:17" ht="15" customHeight="1">
      <c r="B18" s="588"/>
      <c r="C18" s="845" t="s">
        <v>793</v>
      </c>
      <c r="D18" s="839"/>
      <c r="E18" s="839"/>
      <c r="F18" s="839"/>
      <c r="G18" s="839"/>
      <c r="H18" s="839"/>
      <c r="I18" s="839"/>
      <c r="J18" s="839"/>
      <c r="K18" s="839"/>
      <c r="L18" s="613"/>
      <c r="M18" s="8" t="s">
        <v>794</v>
      </c>
      <c r="N18" s="8"/>
      <c r="O18" s="8"/>
      <c r="P18" s="8"/>
      <c r="Q18" s="624"/>
    </row>
    <row r="19" spans="2:17">
      <c r="B19" s="588" t="s">
        <v>636</v>
      </c>
      <c r="C19" s="839" t="s">
        <v>795</v>
      </c>
      <c r="D19" s="839"/>
      <c r="E19" s="839"/>
      <c r="F19" s="839"/>
      <c r="G19" s="839"/>
      <c r="H19" s="839"/>
      <c r="I19" s="839"/>
      <c r="J19" s="839"/>
      <c r="K19" s="839"/>
      <c r="L19" s="613"/>
      <c r="M19" s="8" t="s">
        <v>796</v>
      </c>
      <c r="N19" s="5"/>
      <c r="O19" s="5"/>
      <c r="P19" s="5"/>
      <c r="Q19" s="612"/>
    </row>
    <row r="20" spans="2:17" ht="16" thickBot="1">
      <c r="B20" s="588" t="s">
        <v>638</v>
      </c>
      <c r="C20" s="839" t="s">
        <v>797</v>
      </c>
      <c r="D20" s="839"/>
      <c r="E20" s="839"/>
      <c r="F20" s="839"/>
      <c r="G20" s="839"/>
      <c r="H20" s="839"/>
      <c r="I20" s="839"/>
      <c r="J20" s="839"/>
      <c r="K20" s="839"/>
      <c r="L20" s="625"/>
      <c r="M20" s="626"/>
      <c r="N20" s="626"/>
      <c r="O20" s="626"/>
      <c r="P20" s="626"/>
      <c r="Q20" s="627"/>
    </row>
    <row r="21" spans="2:17">
      <c r="B21" s="588" t="s">
        <v>640</v>
      </c>
      <c r="C21" s="839" t="s">
        <v>798</v>
      </c>
      <c r="D21" s="839"/>
      <c r="E21" s="839"/>
      <c r="F21" s="839"/>
      <c r="G21" s="839"/>
      <c r="H21" s="839"/>
      <c r="I21" s="839"/>
      <c r="J21" s="839"/>
      <c r="K21" s="839"/>
      <c r="L21" s="628"/>
      <c r="M21" s="7"/>
      <c r="N21" s="7"/>
      <c r="O21" s="7"/>
      <c r="P21" s="7"/>
      <c r="Q21" s="7"/>
    </row>
    <row r="22" spans="2:17">
      <c r="B22" s="588" t="s">
        <v>642</v>
      </c>
      <c r="C22" s="839" t="s">
        <v>799</v>
      </c>
      <c r="D22" s="839"/>
      <c r="E22" s="839"/>
      <c r="F22" s="839"/>
      <c r="G22" s="839"/>
      <c r="H22" s="839"/>
      <c r="I22" s="839"/>
      <c r="J22" s="839"/>
      <c r="K22" s="839"/>
      <c r="L22" s="595"/>
    </row>
    <row r="23" spans="2:17">
      <c r="B23" s="588" t="s">
        <v>644</v>
      </c>
      <c r="C23" s="839" t="s">
        <v>800</v>
      </c>
      <c r="D23" s="839"/>
      <c r="E23" s="839"/>
      <c r="F23" s="839"/>
      <c r="G23" s="839"/>
      <c r="H23" s="839"/>
      <c r="I23" s="839"/>
      <c r="J23" s="839"/>
      <c r="K23" s="839"/>
      <c r="L23" s="595"/>
    </row>
    <row r="24" spans="2:17">
      <c r="B24" s="588" t="s">
        <v>646</v>
      </c>
      <c r="C24" s="839" t="s">
        <v>801</v>
      </c>
      <c r="D24" s="839"/>
      <c r="E24" s="839"/>
      <c r="F24" s="839"/>
      <c r="G24" s="839"/>
      <c r="H24" s="839"/>
      <c r="I24" s="839"/>
      <c r="J24" s="839"/>
      <c r="K24" s="839"/>
      <c r="L24" s="595"/>
    </row>
    <row r="25" spans="2:17">
      <c r="B25" s="588" t="s">
        <v>648</v>
      </c>
      <c r="C25" s="839" t="s">
        <v>802</v>
      </c>
      <c r="D25" s="839"/>
      <c r="E25" s="839"/>
      <c r="F25" s="839"/>
      <c r="G25" s="839"/>
      <c r="H25" s="839"/>
      <c r="I25" s="839"/>
      <c r="J25" s="839"/>
      <c r="K25" s="839"/>
      <c r="L25" s="595"/>
    </row>
    <row r="26" spans="2:17">
      <c r="B26" s="588" t="s">
        <v>650</v>
      </c>
      <c r="C26" s="839" t="s">
        <v>803</v>
      </c>
      <c r="D26" s="839"/>
      <c r="E26" s="839"/>
      <c r="F26" s="839"/>
      <c r="G26" s="839"/>
      <c r="H26" s="839"/>
      <c r="I26" s="839"/>
      <c r="J26" s="839"/>
      <c r="K26" s="839"/>
      <c r="L26" s="595"/>
    </row>
    <row r="27" spans="2:17">
      <c r="B27" s="588" t="s">
        <v>652</v>
      </c>
      <c r="C27" s="839" t="s">
        <v>804</v>
      </c>
      <c r="D27" s="839"/>
      <c r="E27" s="839"/>
      <c r="F27" s="839"/>
      <c r="G27" s="839"/>
      <c r="H27" s="839"/>
      <c r="I27" s="839"/>
      <c r="J27" s="839"/>
      <c r="K27" s="839"/>
      <c r="L27" s="595"/>
    </row>
    <row r="28" spans="2:17">
      <c r="B28" s="588" t="s">
        <v>654</v>
      </c>
      <c r="C28" s="839" t="s">
        <v>805</v>
      </c>
      <c r="D28" s="839"/>
      <c r="E28" s="839"/>
      <c r="F28" s="839"/>
      <c r="G28" s="839"/>
      <c r="H28" s="839"/>
      <c r="I28" s="839"/>
      <c r="J28" s="839"/>
      <c r="K28" s="839"/>
      <c r="L28" s="595"/>
    </row>
    <row r="29" spans="2:17">
      <c r="B29" s="588" t="s">
        <v>656</v>
      </c>
      <c r="C29" s="844" t="s">
        <v>806</v>
      </c>
      <c r="D29" s="839"/>
      <c r="E29" s="839"/>
      <c r="F29" s="839"/>
      <c r="G29" s="839"/>
      <c r="H29" s="839"/>
      <c r="I29" s="839"/>
      <c r="J29" s="839"/>
      <c r="K29" s="839"/>
      <c r="L29" s="595"/>
    </row>
    <row r="30" spans="2:17">
      <c r="B30" s="588"/>
      <c r="C30" s="839"/>
      <c r="D30" s="839"/>
      <c r="E30" s="839"/>
      <c r="F30" s="839"/>
      <c r="G30" s="839"/>
      <c r="H30" s="839"/>
      <c r="I30" s="839"/>
      <c r="J30" s="839"/>
      <c r="K30" s="839"/>
      <c r="L30" s="595"/>
    </row>
    <row r="31" spans="2:17">
      <c r="B31" s="588"/>
      <c r="C31" s="839"/>
      <c r="D31" s="839"/>
      <c r="E31" s="839"/>
      <c r="F31" s="839"/>
      <c r="G31" s="839"/>
      <c r="H31" s="839"/>
      <c r="I31" s="839"/>
      <c r="J31" s="839"/>
      <c r="K31" s="839"/>
      <c r="L31" s="595"/>
    </row>
    <row r="32" spans="2:17">
      <c r="B32" s="588"/>
      <c r="C32" s="839"/>
      <c r="D32" s="839"/>
      <c r="E32" s="839"/>
      <c r="F32" s="839"/>
      <c r="G32" s="839"/>
      <c r="H32" s="839"/>
      <c r="I32" s="839"/>
      <c r="J32" s="839"/>
      <c r="K32" s="839"/>
      <c r="L32" s="595"/>
    </row>
    <row r="33" spans="2:12">
      <c r="B33" s="588"/>
      <c r="C33" s="839"/>
      <c r="D33" s="839"/>
      <c r="E33" s="839"/>
      <c r="F33" s="839"/>
      <c r="G33" s="839"/>
      <c r="H33" s="839"/>
      <c r="I33" s="839"/>
      <c r="J33" s="839"/>
      <c r="K33" s="839"/>
      <c r="L33" s="595"/>
    </row>
    <row r="34" spans="2:12">
      <c r="B34" s="588"/>
      <c r="C34" s="839"/>
      <c r="D34" s="839"/>
      <c r="E34" s="839"/>
      <c r="F34" s="839"/>
      <c r="G34" s="839"/>
      <c r="H34" s="839"/>
      <c r="I34" s="839"/>
      <c r="J34" s="839"/>
      <c r="K34" s="839"/>
      <c r="L34" s="595"/>
    </row>
    <row r="35" spans="2:12">
      <c r="B35" s="588"/>
      <c r="C35" s="839"/>
      <c r="D35" s="839"/>
      <c r="E35" s="839"/>
      <c r="F35" s="839"/>
      <c r="G35" s="839"/>
      <c r="H35" s="839"/>
      <c r="I35" s="839"/>
      <c r="J35" s="839"/>
      <c r="K35" s="839"/>
      <c r="L35" s="595"/>
    </row>
    <row r="36" spans="2:12">
      <c r="B36" s="588"/>
      <c r="C36" s="839"/>
      <c r="D36" s="839"/>
      <c r="E36" s="839"/>
      <c r="F36" s="839"/>
      <c r="G36" s="839"/>
      <c r="H36" s="839"/>
      <c r="I36" s="839"/>
      <c r="J36" s="839"/>
      <c r="K36" s="839"/>
      <c r="L36" s="595"/>
    </row>
    <row r="37" spans="2:12">
      <c r="B37" s="588"/>
      <c r="C37" s="839"/>
      <c r="D37" s="839"/>
      <c r="E37" s="839"/>
      <c r="F37" s="839"/>
      <c r="G37" s="839"/>
      <c r="H37" s="839"/>
      <c r="I37" s="839"/>
      <c r="J37" s="839"/>
      <c r="K37" s="839"/>
      <c r="L37" s="595"/>
    </row>
    <row r="38" spans="2:12">
      <c r="B38" s="588"/>
      <c r="C38" s="839"/>
      <c r="D38" s="839"/>
      <c r="E38" s="839"/>
      <c r="F38" s="839"/>
      <c r="G38" s="839"/>
      <c r="H38" s="839"/>
      <c r="I38" s="839"/>
      <c r="J38" s="839"/>
      <c r="K38" s="839"/>
    </row>
    <row r="39" spans="2:12">
      <c r="B39" s="588"/>
      <c r="C39" s="839"/>
      <c r="D39" s="839"/>
      <c r="E39" s="839"/>
      <c r="F39" s="839"/>
      <c r="G39" s="839"/>
      <c r="H39" s="839"/>
      <c r="I39" s="839"/>
      <c r="J39" s="839"/>
      <c r="K39" s="839"/>
    </row>
    <row r="40" spans="2:12">
      <c r="B40" s="588"/>
      <c r="C40" s="839"/>
      <c r="D40" s="839"/>
      <c r="E40" s="839"/>
      <c r="F40" s="839"/>
      <c r="G40" s="839"/>
      <c r="H40" s="839"/>
      <c r="I40" s="839"/>
      <c r="J40" s="839"/>
      <c r="K40" s="839"/>
    </row>
  </sheetData>
  <mergeCells count="32">
    <mergeCell ref="C20:K20"/>
    <mergeCell ref="C5:K5"/>
    <mergeCell ref="C8:K8"/>
    <mergeCell ref="C9:K9"/>
    <mergeCell ref="C10:K10"/>
    <mergeCell ref="C11:K11"/>
    <mergeCell ref="C12:K12"/>
    <mergeCell ref="C13:K13"/>
    <mergeCell ref="C14:K14"/>
    <mergeCell ref="C15:K15"/>
    <mergeCell ref="C18:K18"/>
    <mergeCell ref="C19:K19"/>
    <mergeCell ref="C32:K32"/>
    <mergeCell ref="C21:K21"/>
    <mergeCell ref="C22:K22"/>
    <mergeCell ref="C23:K23"/>
    <mergeCell ref="C24:K24"/>
    <mergeCell ref="C25:K25"/>
    <mergeCell ref="C26:K26"/>
    <mergeCell ref="C27:K27"/>
    <mergeCell ref="C28:K28"/>
    <mergeCell ref="C29:K29"/>
    <mergeCell ref="C30:K30"/>
    <mergeCell ref="C31:K31"/>
    <mergeCell ref="C39:K39"/>
    <mergeCell ref="C40:K40"/>
    <mergeCell ref="C33:K33"/>
    <mergeCell ref="C34:K34"/>
    <mergeCell ref="C35:K35"/>
    <mergeCell ref="C36:K36"/>
    <mergeCell ref="C37:K37"/>
    <mergeCell ref="C38:K38"/>
  </mergeCells>
  <pageMargins left="0.17" right="0.16"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8">
    <tabColor rgb="FF00B0F0"/>
  </sheetPr>
  <dimension ref="B1:U291"/>
  <sheetViews>
    <sheetView workbookViewId="0">
      <selection activeCell="AA27" sqref="AA27"/>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Detail!A31</f>
        <v>Roseland Place</v>
      </c>
      <c r="D2" s="341"/>
      <c r="E2" s="341"/>
      <c r="F2" s="120"/>
      <c r="G2" s="120"/>
      <c r="H2" s="120"/>
      <c r="I2" s="120"/>
      <c r="J2" s="120"/>
      <c r="K2" s="120"/>
      <c r="L2" s="120"/>
      <c r="M2" s="121"/>
      <c r="N2" s="319"/>
    </row>
    <row r="3" spans="2:21" s="122" customFormat="1" ht="20.25" customHeight="1" thickBot="1">
      <c r="B3" s="319"/>
      <c r="C3" s="136" t="str">
        <f>Detail!B31</f>
        <v>L Reyes</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Detail!V31</f>
        <v>Senior</v>
      </c>
      <c r="G6" s="836"/>
      <c r="H6" s="357"/>
      <c r="I6" s="833" t="s">
        <v>219</v>
      </c>
      <c r="J6" s="834"/>
      <c r="K6" s="834"/>
      <c r="L6" s="837" t="str">
        <f>Detail!I31</f>
        <v>HUD 202</v>
      </c>
      <c r="M6" s="838"/>
      <c r="N6" s="318"/>
    </row>
    <row r="7" spans="2:21" ht="17.25" customHeight="1">
      <c r="B7" s="318"/>
      <c r="C7" s="796" t="s">
        <v>214</v>
      </c>
      <c r="D7" s="797"/>
      <c r="E7" s="352"/>
      <c r="F7" s="819" t="str">
        <f>Detail!C31</f>
        <v>Chicago</v>
      </c>
      <c r="G7" s="820"/>
      <c r="H7" s="357"/>
      <c r="I7" s="796" t="s">
        <v>183</v>
      </c>
      <c r="J7" s="797"/>
      <c r="K7" s="797"/>
      <c r="L7" s="830" t="str">
        <f>Detail!J31</f>
        <v>LIHTC - 9%</v>
      </c>
      <c r="M7" s="831"/>
      <c r="N7" s="318"/>
    </row>
    <row r="8" spans="2:21">
      <c r="B8" s="318"/>
      <c r="C8" s="796" t="s">
        <v>9</v>
      </c>
      <c r="D8" s="797"/>
      <c r="E8" s="352"/>
      <c r="F8" s="819" t="str">
        <f>Detail!D31</f>
        <v>New Construction</v>
      </c>
      <c r="G8" s="820"/>
      <c r="H8" s="357"/>
      <c r="I8" s="796" t="s">
        <v>184</v>
      </c>
      <c r="J8" s="797"/>
      <c r="K8" s="797"/>
      <c r="L8" s="830" t="str">
        <f>Detail!K31</f>
        <v>Local: State Funding</v>
      </c>
      <c r="M8" s="831"/>
      <c r="N8" s="318"/>
    </row>
    <row r="9" spans="2:21" ht="34.5" customHeight="1">
      <c r="B9" s="318"/>
      <c r="C9" s="796" t="s">
        <v>215</v>
      </c>
      <c r="D9" s="797"/>
      <c r="E9" s="353"/>
      <c r="F9" s="832">
        <f>Detail!T31</f>
        <v>60</v>
      </c>
      <c r="G9" s="820"/>
      <c r="H9" s="357"/>
      <c r="I9" s="796" t="s">
        <v>185</v>
      </c>
      <c r="J9" s="797"/>
      <c r="K9" s="797"/>
      <c r="L9" s="830" t="str">
        <f>Detail!L31</f>
        <v>Grant Funding - Public or Private</v>
      </c>
      <c r="M9" s="831"/>
      <c r="N9" s="318"/>
    </row>
    <row r="10" spans="2:21" ht="17.25" customHeight="1">
      <c r="B10" s="318"/>
      <c r="C10" s="796" t="s">
        <v>216</v>
      </c>
      <c r="D10" s="797"/>
      <c r="E10" s="352"/>
      <c r="F10" s="819" t="str">
        <f>Detail!V31</f>
        <v>Senior</v>
      </c>
      <c r="G10" s="820"/>
      <c r="H10" s="357"/>
      <c r="I10" s="796" t="s">
        <v>44</v>
      </c>
      <c r="J10" s="797"/>
      <c r="K10" s="797"/>
      <c r="L10" s="800">
        <f>Detail!AB31</f>
        <v>17786000</v>
      </c>
      <c r="M10" s="801"/>
      <c r="N10" s="318"/>
    </row>
    <row r="11" spans="2:21" ht="17.25" customHeight="1">
      <c r="B11" s="318"/>
      <c r="C11" s="361"/>
      <c r="D11" s="362"/>
      <c r="E11" s="352"/>
      <c r="F11" s="819" t="str">
        <f>Detail!W31</f>
        <v>Senior - Independent</v>
      </c>
      <c r="G11" s="820"/>
      <c r="H11" s="357"/>
      <c r="I11" s="796" t="s">
        <v>602</v>
      </c>
      <c r="J11" s="797"/>
      <c r="K11" s="512"/>
      <c r="L11" s="828" t="str">
        <f>Detail!AG31</f>
        <v xml:space="preserve">B of A </v>
      </c>
      <c r="M11" s="829"/>
      <c r="N11" s="318"/>
    </row>
    <row r="12" spans="2:21">
      <c r="B12" s="318"/>
      <c r="C12" s="361"/>
      <c r="D12" s="362"/>
      <c r="E12" s="352"/>
      <c r="F12" s="819" t="str">
        <f>Detail!X31</f>
        <v>N/A</v>
      </c>
      <c r="G12" s="820"/>
      <c r="H12" s="357"/>
      <c r="I12" s="796" t="s">
        <v>603</v>
      </c>
      <c r="J12" s="797"/>
      <c r="K12" s="797"/>
      <c r="L12" s="828">
        <f>Detail!N31</f>
        <v>2009</v>
      </c>
      <c r="M12" s="829"/>
      <c r="N12" s="318"/>
    </row>
    <row r="13" spans="2:21" ht="17.25" customHeight="1">
      <c r="B13" s="318"/>
      <c r="C13" s="796" t="s">
        <v>525</v>
      </c>
      <c r="D13" s="797"/>
      <c r="E13" s="354"/>
      <c r="F13" s="827" t="str">
        <f>Detail!AM31</f>
        <v>MHMG</v>
      </c>
      <c r="G13" s="820"/>
      <c r="H13" s="357"/>
      <c r="I13" s="796" t="s">
        <v>256</v>
      </c>
      <c r="J13" s="797"/>
      <c r="K13" s="797"/>
      <c r="L13" s="800">
        <f>Detail!AC31</f>
        <v>8442046</v>
      </c>
      <c r="M13" s="801"/>
      <c r="N13" s="318"/>
    </row>
    <row r="14" spans="2:21" ht="17.25" customHeight="1">
      <c r="B14" s="318"/>
      <c r="C14" s="796" t="s">
        <v>172</v>
      </c>
      <c r="D14" s="797"/>
      <c r="E14" s="352"/>
      <c r="F14" s="819" t="str">
        <f>Detail!Z31</f>
        <v>Service Coordination</v>
      </c>
      <c r="G14" s="820"/>
      <c r="H14" s="357"/>
      <c r="I14" s="796" t="s">
        <v>257</v>
      </c>
      <c r="J14" s="797"/>
      <c r="K14" s="797"/>
      <c r="L14" s="800">
        <f>Detail!AF31</f>
        <v>6753638</v>
      </c>
      <c r="M14" s="801"/>
      <c r="N14" s="318"/>
    </row>
    <row r="15" spans="2:21" ht="17.25" customHeight="1" thickBot="1">
      <c r="B15" s="318"/>
      <c r="C15" s="796" t="s">
        <v>217</v>
      </c>
      <c r="D15" s="797"/>
      <c r="E15" s="355"/>
      <c r="F15" s="819" t="str">
        <f>Detail!AA31</f>
        <v>Government Contracts</v>
      </c>
      <c r="G15" s="820"/>
      <c r="H15" s="357"/>
      <c r="I15" s="821" t="s">
        <v>255</v>
      </c>
      <c r="J15" s="822"/>
      <c r="K15" s="822"/>
      <c r="L15" s="823">
        <f>Detail!AD31</f>
        <v>844204.6</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Detail!AH31</f>
        <v>700570</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Detail!AJ31</f>
        <v>700570</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Detail!AI31</f>
        <v>0</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33.75" customHeight="1" thickTop="1">
      <c r="B21" s="320"/>
      <c r="C21" s="804" t="s">
        <v>46</v>
      </c>
      <c r="D21" s="805"/>
      <c r="E21" s="349"/>
      <c r="F21" s="806" t="str">
        <f>Detail!F31</f>
        <v>Operations - Sub Phase Close Out</v>
      </c>
      <c r="G21" s="807"/>
      <c r="H21" s="359"/>
      <c r="I21" s="804" t="s">
        <v>226</v>
      </c>
      <c r="J21" s="805"/>
      <c r="K21" s="805"/>
      <c r="L21" s="808">
        <f>Detail!Q31</f>
        <v>1</v>
      </c>
      <c r="M21" s="809"/>
      <c r="N21" s="320"/>
    </row>
    <row r="22" spans="2:21" s="88" customFormat="1" ht="17.25" customHeight="1">
      <c r="B22" s="320"/>
      <c r="C22" s="796" t="s">
        <v>223</v>
      </c>
      <c r="D22" s="797"/>
      <c r="E22" s="348"/>
      <c r="F22" s="798">
        <f>Detail!P31</f>
        <v>40148</v>
      </c>
      <c r="G22" s="799"/>
      <c r="H22" s="359"/>
      <c r="I22" s="796" t="s">
        <v>227</v>
      </c>
      <c r="J22" s="797"/>
      <c r="K22" s="797"/>
      <c r="L22" s="800">
        <f>Detail!AO31+Detail!AP31+Detail!AQ31+Detail!AR31</f>
        <v>412783.5</v>
      </c>
      <c r="M22" s="801"/>
      <c r="N22" s="320"/>
    </row>
    <row r="23" spans="2:21" s="88" customFormat="1" ht="17.25" customHeight="1">
      <c r="B23" s="320"/>
      <c r="C23" s="796" t="s">
        <v>224</v>
      </c>
      <c r="D23" s="797"/>
      <c r="E23" s="348"/>
      <c r="F23" s="798">
        <f>Detail!R31</f>
        <v>40148</v>
      </c>
      <c r="G23" s="799"/>
      <c r="H23" s="359"/>
      <c r="I23" s="796" t="s">
        <v>228</v>
      </c>
      <c r="J23" s="797"/>
      <c r="K23" s="797"/>
      <c r="L23" s="800">
        <f>Detail!BG31</f>
        <v>287786</v>
      </c>
      <c r="M23" s="801"/>
      <c r="N23" s="320"/>
    </row>
    <row r="24" spans="2:21" s="88" customFormat="1" ht="17.25" customHeight="1" thickBot="1">
      <c r="B24" s="320"/>
      <c r="C24" s="778" t="s">
        <v>225</v>
      </c>
      <c r="D24" s="779"/>
      <c r="E24" s="513"/>
      <c r="F24" s="780">
        <f>Detail!S31</f>
        <v>40603</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Roseland Place</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c r="B38" s="322"/>
      <c r="C38" s="792" t="s">
        <v>514</v>
      </c>
      <c r="D38" s="793"/>
      <c r="E38" s="344"/>
      <c r="F38" s="368" t="str">
        <f>I92</f>
        <v>TBD</v>
      </c>
      <c r="G38" s="368" t="str">
        <f>J92</f>
        <v>TBD</v>
      </c>
      <c r="H38" s="794"/>
      <c r="I38" s="794"/>
      <c r="J38" s="794"/>
      <c r="K38" s="794"/>
      <c r="L38" s="794"/>
      <c r="M38" s="795"/>
      <c r="N38" s="322"/>
    </row>
    <row r="39" spans="2:19" s="300" customFormat="1" ht="12.75" customHeight="1">
      <c r="B39" s="322"/>
      <c r="C39" s="774" t="s">
        <v>516</v>
      </c>
      <c r="D39" s="775"/>
      <c r="E39" s="514"/>
      <c r="F39" s="368" t="str">
        <f>I94</f>
        <v>TBD</v>
      </c>
      <c r="G39" s="369" t="str">
        <f>J94</f>
        <v>TBD</v>
      </c>
      <c r="H39" s="772"/>
      <c r="I39" s="772"/>
      <c r="J39" s="772"/>
      <c r="K39" s="772"/>
      <c r="L39" s="772"/>
      <c r="M39" s="773"/>
      <c r="N39" s="322"/>
    </row>
    <row r="40" spans="2:19" s="300" customFormat="1">
      <c r="B40" s="322"/>
      <c r="C40" s="774" t="s">
        <v>344</v>
      </c>
      <c r="D40" s="775"/>
      <c r="E40" s="514"/>
      <c r="F40" s="368" t="str">
        <f>I96</f>
        <v>TBD</v>
      </c>
      <c r="G40" s="368" t="str">
        <f>J96</f>
        <v>TBD</v>
      </c>
      <c r="H40" s="772"/>
      <c r="I40" s="772"/>
      <c r="J40" s="772"/>
      <c r="K40" s="772"/>
      <c r="L40" s="772"/>
      <c r="M40" s="773"/>
      <c r="N40" s="322"/>
    </row>
    <row r="41" spans="2:19" s="300" customFormat="1" ht="12.75" customHeight="1">
      <c r="B41" s="322"/>
      <c r="C41" s="774" t="s">
        <v>535</v>
      </c>
      <c r="D41" s="775"/>
      <c r="E41" s="514"/>
      <c r="F41" s="368" t="str">
        <f>Roseland!I102</f>
        <v>TBD</v>
      </c>
      <c r="G41" s="368" t="str">
        <f>J102</f>
        <v>TBD</v>
      </c>
      <c r="H41" s="772"/>
      <c r="I41" s="772"/>
      <c r="J41" s="772"/>
      <c r="K41" s="772"/>
      <c r="L41" s="772"/>
      <c r="M41" s="773"/>
      <c r="N41" s="322"/>
      <c r="P41" s="358"/>
      <c r="Q41" s="358"/>
      <c r="R41" s="358"/>
      <c r="S41" s="358"/>
    </row>
    <row r="42" spans="2:19" s="300" customFormat="1">
      <c r="B42" s="322"/>
      <c r="C42" s="774" t="s">
        <v>536</v>
      </c>
      <c r="D42" s="775"/>
      <c r="E42" s="514"/>
      <c r="F42" s="368" t="str">
        <f>I110</f>
        <v>TBD</v>
      </c>
      <c r="G42" s="368" t="str">
        <f>J110</f>
        <v>TBD</v>
      </c>
      <c r="H42" s="772"/>
      <c r="I42" s="772"/>
      <c r="J42" s="772"/>
      <c r="K42" s="772"/>
      <c r="L42" s="772"/>
      <c r="M42" s="773"/>
      <c r="N42" s="322"/>
      <c r="P42" s="358"/>
      <c r="Q42" s="358"/>
      <c r="R42" s="358"/>
      <c r="S42" s="358"/>
    </row>
    <row r="43" spans="2:19" s="300" customFormat="1">
      <c r="B43" s="322"/>
      <c r="C43" s="774" t="s">
        <v>517</v>
      </c>
      <c r="D43" s="775"/>
      <c r="E43" s="514"/>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14"/>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14"/>
      <c r="F45" s="368" t="str">
        <f>I200</f>
        <v>TBD</v>
      </c>
      <c r="G45" s="368" t="str">
        <f>J200</f>
        <v>TBD</v>
      </c>
      <c r="H45" s="772"/>
      <c r="I45" s="772"/>
      <c r="J45" s="772"/>
      <c r="K45" s="772"/>
      <c r="L45" s="772"/>
      <c r="M45" s="773"/>
      <c r="N45" s="322"/>
    </row>
    <row r="46" spans="2:19" s="300" customFormat="1">
      <c r="B46" s="322"/>
      <c r="C46" s="774" t="s">
        <v>538</v>
      </c>
      <c r="D46" s="775"/>
      <c r="E46" s="514"/>
      <c r="F46" s="368" t="str">
        <f>I232</f>
        <v>TBD</v>
      </c>
      <c r="G46" s="368" t="str">
        <f>J232</f>
        <v>TBD</v>
      </c>
      <c r="H46" s="772"/>
      <c r="I46" s="772"/>
      <c r="J46" s="772"/>
      <c r="K46" s="772"/>
      <c r="L46" s="772"/>
      <c r="M46" s="773"/>
      <c r="N46" s="322"/>
    </row>
    <row r="47" spans="2:19" s="300" customFormat="1">
      <c r="B47" s="322"/>
      <c r="C47" s="774" t="s">
        <v>55</v>
      </c>
      <c r="D47" s="775"/>
      <c r="E47" s="514"/>
      <c r="F47" s="368">
        <f>I225</f>
        <v>40178</v>
      </c>
      <c r="G47" s="368" t="str">
        <f>J225</f>
        <v>TBD</v>
      </c>
      <c r="H47" s="772"/>
      <c r="I47" s="772"/>
      <c r="J47" s="772"/>
      <c r="K47" s="772"/>
      <c r="L47" s="772"/>
      <c r="M47" s="773"/>
      <c r="N47" s="322"/>
    </row>
    <row r="48" spans="2:19" s="300" customFormat="1">
      <c r="B48" s="322"/>
      <c r="C48" s="774" t="s">
        <v>346</v>
      </c>
      <c r="D48" s="775"/>
      <c r="E48" s="514"/>
      <c r="F48" s="368">
        <f>I235</f>
        <v>40178</v>
      </c>
      <c r="G48" s="368" t="str">
        <f>J235</f>
        <v>TBD</v>
      </c>
      <c r="H48" s="772"/>
      <c r="I48" s="772"/>
      <c r="J48" s="772"/>
      <c r="K48" s="772"/>
      <c r="L48" s="772"/>
      <c r="M48" s="773"/>
      <c r="N48" s="322"/>
    </row>
    <row r="49" spans="2:14" s="300" customFormat="1">
      <c r="B49" s="322"/>
      <c r="C49" s="774" t="s">
        <v>347</v>
      </c>
      <c r="D49" s="775"/>
      <c r="E49" s="514"/>
      <c r="F49" s="368" t="str">
        <f>I237</f>
        <v>TBD</v>
      </c>
      <c r="G49" s="368" t="str">
        <f>J237</f>
        <v>TBD</v>
      </c>
      <c r="H49" s="772"/>
      <c r="I49" s="772"/>
      <c r="J49" s="772"/>
      <c r="K49" s="772"/>
      <c r="L49" s="772"/>
      <c r="M49" s="773"/>
      <c r="N49" s="322"/>
    </row>
    <row r="50" spans="2:14" s="300" customFormat="1">
      <c r="B50" s="322"/>
      <c r="C50" s="774" t="s">
        <v>348</v>
      </c>
      <c r="D50" s="775"/>
      <c r="E50" s="514"/>
      <c r="F50" s="368" t="str">
        <f>I254</f>
        <v>TBD</v>
      </c>
      <c r="G50" s="368" t="str">
        <f>J254</f>
        <v>TBD</v>
      </c>
      <c r="H50" s="772"/>
      <c r="I50" s="772"/>
      <c r="J50" s="772"/>
      <c r="K50" s="772"/>
      <c r="L50" s="772"/>
      <c r="M50" s="773"/>
      <c r="N50" s="322"/>
    </row>
    <row r="51" spans="2:14" s="300" customFormat="1">
      <c r="B51" s="322"/>
      <c r="C51" s="774" t="s">
        <v>65</v>
      </c>
      <c r="D51" s="775"/>
      <c r="E51" s="514"/>
      <c r="F51" s="368" t="str">
        <f>I255</f>
        <v>TBD</v>
      </c>
      <c r="G51" s="368" t="str">
        <f>J255</f>
        <v>TBD</v>
      </c>
      <c r="H51" s="772"/>
      <c r="I51" s="772"/>
      <c r="J51" s="772"/>
      <c r="K51" s="772"/>
      <c r="L51" s="772"/>
      <c r="M51" s="773"/>
      <c r="N51" s="322"/>
    </row>
    <row r="52" spans="2:14" s="300" customFormat="1">
      <c r="B52" s="322"/>
      <c r="C52" s="774" t="s">
        <v>540</v>
      </c>
      <c r="D52" s="775"/>
      <c r="E52" s="514"/>
      <c r="F52" s="368" t="str">
        <f>I273</f>
        <v>TBD</v>
      </c>
      <c r="G52" s="368" t="str">
        <f>J273</f>
        <v>TBD</v>
      </c>
      <c r="H52" s="772"/>
      <c r="I52" s="772"/>
      <c r="J52" s="772"/>
      <c r="K52" s="772"/>
      <c r="L52" s="772"/>
      <c r="M52" s="773"/>
      <c r="N52" s="322"/>
    </row>
    <row r="53" spans="2:14" s="300" customFormat="1">
      <c r="B53" s="322"/>
      <c r="C53" s="774" t="s">
        <v>542</v>
      </c>
      <c r="D53" s="775"/>
      <c r="E53" s="514"/>
      <c r="F53" s="368" t="str">
        <f>I276</f>
        <v>TBD</v>
      </c>
      <c r="G53" s="368" t="str">
        <f>J276</f>
        <v>TBD</v>
      </c>
      <c r="H53" s="772"/>
      <c r="I53" s="772"/>
      <c r="J53" s="772"/>
      <c r="K53" s="772"/>
      <c r="L53" s="772"/>
      <c r="M53" s="773"/>
      <c r="N53" s="322"/>
    </row>
    <row r="54" spans="2:14" s="300" customFormat="1">
      <c r="B54" s="322"/>
      <c r="C54" s="774">
        <v>8609</v>
      </c>
      <c r="D54" s="775"/>
      <c r="E54" s="514"/>
      <c r="F54" s="368" t="str">
        <f>I289</f>
        <v>TBD</v>
      </c>
      <c r="G54" s="368" t="str">
        <f>J289</f>
        <v>TBD</v>
      </c>
      <c r="H54" s="772"/>
      <c r="I54" s="772"/>
      <c r="J54" s="772"/>
      <c r="K54" s="772"/>
      <c r="L54" s="772"/>
      <c r="M54" s="773"/>
      <c r="N54" s="322"/>
    </row>
    <row r="55" spans="2:14" s="300" customForma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515"/>
      <c r="F56" s="338"/>
      <c r="G56" s="338"/>
      <c r="H56" s="772"/>
      <c r="I56" s="772"/>
      <c r="J56" s="772"/>
      <c r="K56" s="772"/>
      <c r="L56" s="772"/>
      <c r="M56" s="773"/>
      <c r="N56" s="322"/>
    </row>
    <row r="57" spans="2:14" s="300" customFormat="1" ht="14">
      <c r="B57" s="322"/>
      <c r="C57" s="770" t="s">
        <v>522</v>
      </c>
      <c r="D57" s="771"/>
      <c r="E57" s="515"/>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Roseland Place</v>
      </c>
      <c r="J63" s="769"/>
      <c r="K63" s="17"/>
      <c r="L63" s="17"/>
      <c r="M63" s="8"/>
      <c r="N63" s="17"/>
    </row>
    <row r="64" spans="2:14" ht="16" thickBot="1">
      <c r="C64" s="308" t="s">
        <v>351</v>
      </c>
      <c r="D64" s="308"/>
      <c r="E64" s="308"/>
      <c r="F64" s="308"/>
      <c r="H64" s="363"/>
      <c r="I64" s="768" t="str">
        <f>F7</f>
        <v>Chicago</v>
      </c>
      <c r="J64" s="769"/>
      <c r="K64" s="17"/>
      <c r="L64" s="17"/>
      <c r="M64" s="8"/>
      <c r="N64" s="17"/>
    </row>
    <row r="65" spans="2:15" ht="16" thickBot="1">
      <c r="C65" s="308" t="s">
        <v>352</v>
      </c>
      <c r="D65" s="308"/>
      <c r="E65" s="308"/>
      <c r="F65" s="308"/>
      <c r="H65" s="363"/>
      <c r="I65" s="768" t="str">
        <f>C3</f>
        <v>L Reyes</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t="s">
        <v>14</v>
      </c>
      <c r="J70" s="332" t="s">
        <v>14</v>
      </c>
    </row>
    <row r="71" spans="2:15">
      <c r="C71" s="2" t="s">
        <v>356</v>
      </c>
      <c r="D71" s="2"/>
      <c r="E71" s="2"/>
      <c r="F71" s="2"/>
      <c r="G71" s="2"/>
      <c r="H71" s="2"/>
      <c r="I71" s="332" t="s">
        <v>14</v>
      </c>
      <c r="J71" s="332" t="s">
        <v>14</v>
      </c>
    </row>
    <row r="72" spans="2:15">
      <c r="C72" s="2" t="s">
        <v>357</v>
      </c>
      <c r="D72" s="2"/>
      <c r="E72" s="2"/>
      <c r="F72" s="2"/>
      <c r="G72" s="2"/>
      <c r="H72" s="2"/>
      <c r="I72" s="332" t="s">
        <v>14</v>
      </c>
      <c r="J72" s="332" t="s">
        <v>14</v>
      </c>
    </row>
    <row r="73" spans="2:15">
      <c r="C73" s="2" t="s">
        <v>358</v>
      </c>
      <c r="D73" s="2"/>
      <c r="E73" s="2"/>
      <c r="F73" s="2"/>
      <c r="G73" s="2"/>
      <c r="H73" s="2"/>
      <c r="I73" s="332" t="s">
        <v>14</v>
      </c>
      <c r="J73" s="332" t="s">
        <v>14</v>
      </c>
    </row>
    <row r="74" spans="2:15">
      <c r="C74" s="312" t="s">
        <v>359</v>
      </c>
      <c r="D74" s="312"/>
      <c r="E74" s="312"/>
      <c r="F74" s="312"/>
      <c r="G74" s="312"/>
      <c r="H74" s="312"/>
      <c r="I74" s="332" t="s">
        <v>14</v>
      </c>
      <c r="J74" s="332" t="s">
        <v>14</v>
      </c>
    </row>
    <row r="75" spans="2:15">
      <c r="C75" s="2" t="s">
        <v>360</v>
      </c>
      <c r="D75" s="2"/>
      <c r="E75" s="2"/>
      <c r="F75" s="312"/>
      <c r="G75" s="312"/>
      <c r="H75" s="312"/>
      <c r="I75" s="332" t="s">
        <v>14</v>
      </c>
      <c r="J75" s="332" t="s">
        <v>14</v>
      </c>
    </row>
    <row r="76" spans="2:15">
      <c r="C76" s="2" t="s">
        <v>361</v>
      </c>
      <c r="D76" s="2"/>
      <c r="E76" s="2"/>
      <c r="F76" s="312"/>
      <c r="G76" s="312"/>
      <c r="H76" s="312"/>
      <c r="I76" s="332" t="s">
        <v>14</v>
      </c>
      <c r="J76" s="332" t="s">
        <v>14</v>
      </c>
    </row>
    <row r="77" spans="2:15">
      <c r="C77" s="2" t="s">
        <v>362</v>
      </c>
      <c r="D77" s="2"/>
      <c r="E77" s="2"/>
      <c r="F77" s="312"/>
      <c r="G77" s="312"/>
      <c r="H77" s="312"/>
      <c r="I77" s="534"/>
      <c r="J77" s="534"/>
    </row>
    <row r="78" spans="2:15">
      <c r="C78" s="312" t="s">
        <v>363</v>
      </c>
      <c r="D78" s="312"/>
      <c r="E78" s="312"/>
      <c r="F78" s="312"/>
      <c r="G78" s="312"/>
      <c r="H78" s="312"/>
      <c r="I78" s="332" t="s">
        <v>14</v>
      </c>
      <c r="J78" s="332" t="s">
        <v>14</v>
      </c>
    </row>
    <row r="79" spans="2:15">
      <c r="C79" s="312" t="s">
        <v>364</v>
      </c>
      <c r="D79" s="312"/>
      <c r="E79" s="312"/>
      <c r="F79" s="312"/>
      <c r="G79" s="312"/>
      <c r="H79" s="312"/>
      <c r="I79" s="332" t="s">
        <v>14</v>
      </c>
      <c r="J79" s="332" t="s">
        <v>14</v>
      </c>
    </row>
    <row r="80" spans="2:15">
      <c r="C80" s="312" t="s">
        <v>365</v>
      </c>
      <c r="D80" s="312"/>
      <c r="E80" s="312"/>
      <c r="F80" s="312"/>
      <c r="G80" s="312"/>
      <c r="H80" s="312"/>
      <c r="I80" s="332" t="s">
        <v>14</v>
      </c>
      <c r="J80" s="332" t="s">
        <v>14</v>
      </c>
    </row>
    <row r="81" spans="2:10">
      <c r="C81" s="315" t="s">
        <v>366</v>
      </c>
      <c r="D81" s="315"/>
      <c r="E81" s="315"/>
      <c r="F81" s="314"/>
      <c r="G81" s="314"/>
      <c r="H81" s="314"/>
      <c r="I81" s="332" t="s">
        <v>14</v>
      </c>
      <c r="J81" s="332" t="s">
        <v>14</v>
      </c>
    </row>
    <row r="82" spans="2:10">
      <c r="C82" s="2" t="s">
        <v>367</v>
      </c>
      <c r="D82" s="2"/>
      <c r="E82" s="2"/>
      <c r="F82" s="312"/>
      <c r="G82" s="312"/>
      <c r="H82" s="312"/>
      <c r="I82" s="534"/>
      <c r="J82" s="534"/>
    </row>
    <row r="83" spans="2:10">
      <c r="C83" s="312" t="s">
        <v>368</v>
      </c>
      <c r="D83" s="312"/>
      <c r="E83" s="312"/>
      <c r="F83" s="312"/>
      <c r="G83" s="312"/>
      <c r="H83" s="312"/>
      <c r="I83" s="332" t="s">
        <v>14</v>
      </c>
      <c r="J83" s="332" t="s">
        <v>14</v>
      </c>
    </row>
    <row r="84" spans="2:10">
      <c r="C84" s="312" t="s">
        <v>369</v>
      </c>
      <c r="D84" s="312"/>
      <c r="E84" s="312"/>
      <c r="F84" s="312"/>
      <c r="G84" s="312"/>
      <c r="H84" s="312"/>
      <c r="I84" s="332" t="s">
        <v>14</v>
      </c>
      <c r="J84" s="332" t="s">
        <v>14</v>
      </c>
    </row>
    <row r="85" spans="2:10">
      <c r="C85" s="312" t="s">
        <v>370</v>
      </c>
      <c r="D85" s="312"/>
      <c r="E85" s="312"/>
      <c r="F85" s="312"/>
      <c r="G85" s="312"/>
      <c r="H85" s="312"/>
      <c r="I85" s="332" t="s">
        <v>14</v>
      </c>
      <c r="J85" s="332" t="s">
        <v>14</v>
      </c>
    </row>
    <row r="86" spans="2:10">
      <c r="C86" s="2" t="s">
        <v>371</v>
      </c>
      <c r="D86" s="2"/>
      <c r="E86" s="2"/>
      <c r="F86" s="312"/>
      <c r="G86" s="312"/>
      <c r="H86" s="312"/>
      <c r="I86" s="332" t="s">
        <v>14</v>
      </c>
      <c r="J86" s="332" t="s">
        <v>14</v>
      </c>
    </row>
    <row r="87" spans="2:10">
      <c r="C87" s="2" t="s">
        <v>372</v>
      </c>
      <c r="D87" s="2"/>
      <c r="E87" s="2"/>
      <c r="F87" s="312"/>
      <c r="G87" s="312"/>
      <c r="H87" s="312"/>
      <c r="I87" s="332" t="s">
        <v>14</v>
      </c>
      <c r="J87" s="332" t="s">
        <v>14</v>
      </c>
    </row>
    <row r="88" spans="2:10">
      <c r="C88" s="2" t="s">
        <v>373</v>
      </c>
      <c r="D88" s="2"/>
      <c r="E88" s="2"/>
      <c r="F88" s="312"/>
      <c r="G88" s="312"/>
      <c r="H88" s="312"/>
      <c r="I88" s="332" t="s">
        <v>14</v>
      </c>
      <c r="J88" s="332" t="s">
        <v>14</v>
      </c>
    </row>
    <row r="89" spans="2:10">
      <c r="C89" s="2" t="s">
        <v>374</v>
      </c>
      <c r="D89" s="2"/>
      <c r="E89" s="2"/>
      <c r="F89" s="312"/>
      <c r="G89" s="312"/>
      <c r="H89" s="312"/>
      <c r="I89" s="332" t="s">
        <v>14</v>
      </c>
      <c r="J89" s="332" t="s">
        <v>14</v>
      </c>
    </row>
    <row r="90" spans="2:10">
      <c r="C90" s="2" t="s">
        <v>375</v>
      </c>
      <c r="D90" s="2"/>
      <c r="E90" s="2"/>
      <c r="F90" s="312"/>
      <c r="G90" s="312"/>
      <c r="H90" s="312"/>
      <c r="I90" s="332" t="s">
        <v>14</v>
      </c>
      <c r="J90" s="332" t="s">
        <v>14</v>
      </c>
    </row>
    <row r="91" spans="2:10">
      <c r="C91" s="2" t="s">
        <v>376</v>
      </c>
      <c r="D91" s="2"/>
      <c r="E91" s="2"/>
      <c r="F91" s="312"/>
      <c r="G91" s="312"/>
      <c r="H91" s="312"/>
      <c r="I91" s="332" t="s">
        <v>14</v>
      </c>
      <c r="J91" s="332" t="s">
        <v>14</v>
      </c>
    </row>
    <row r="92" spans="2:10">
      <c r="C92" s="308" t="s">
        <v>377</v>
      </c>
      <c r="D92" s="308"/>
      <c r="E92" s="308"/>
      <c r="F92" s="312"/>
      <c r="G92" s="312"/>
      <c r="H92" s="312"/>
      <c r="I92" s="364" t="s">
        <v>14</v>
      </c>
      <c r="J92" s="364" t="s">
        <v>14</v>
      </c>
    </row>
    <row r="93" spans="2:10">
      <c r="C93" s="2"/>
      <c r="D93" s="2"/>
      <c r="E93" s="2"/>
      <c r="F93" s="312"/>
      <c r="G93" s="312"/>
      <c r="H93" s="312"/>
      <c r="I93" s="331"/>
      <c r="J93" s="331"/>
    </row>
    <row r="94" spans="2:10">
      <c r="B94" s="309" t="s">
        <v>378</v>
      </c>
      <c r="C94" s="308"/>
      <c r="D94" s="308"/>
      <c r="E94" s="308"/>
      <c r="F94" s="313"/>
      <c r="G94" s="313"/>
      <c r="H94" s="313"/>
      <c r="I94" s="364" t="s">
        <v>14</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14</v>
      </c>
      <c r="J99" s="332" t="s">
        <v>14</v>
      </c>
    </row>
    <row r="100" spans="2:10">
      <c r="C100" s="2" t="s">
        <v>381</v>
      </c>
      <c r="D100" s="2"/>
      <c r="E100" s="2"/>
      <c r="F100" s="312"/>
      <c r="G100" s="312"/>
      <c r="H100" s="312"/>
      <c r="I100" s="332" t="s">
        <v>14</v>
      </c>
      <c r="J100" s="332" t="s">
        <v>14</v>
      </c>
    </row>
    <row r="101" spans="2:10">
      <c r="C101" s="2" t="s">
        <v>382</v>
      </c>
      <c r="D101" s="2"/>
      <c r="E101" s="2"/>
      <c r="F101" s="312"/>
      <c r="G101" s="312"/>
      <c r="H101" s="312"/>
      <c r="I101" s="332" t="s">
        <v>14</v>
      </c>
      <c r="J101" s="332" t="s">
        <v>14</v>
      </c>
    </row>
    <row r="102" spans="2:10">
      <c r="C102" s="308" t="s">
        <v>534</v>
      </c>
      <c r="D102" s="2"/>
      <c r="E102" s="2"/>
      <c r="F102" s="312"/>
      <c r="G102" s="312"/>
      <c r="H102" s="312"/>
      <c r="I102" s="364" t="s">
        <v>14</v>
      </c>
      <c r="J102" s="364" t="s">
        <v>14</v>
      </c>
    </row>
    <row r="103" spans="2:10">
      <c r="C103" s="2" t="s">
        <v>524</v>
      </c>
      <c r="D103" s="2"/>
      <c r="E103" s="2"/>
      <c r="F103" s="312"/>
      <c r="G103" s="312"/>
      <c r="H103" s="312"/>
      <c r="I103" s="332" t="s">
        <v>14</v>
      </c>
      <c r="J103" s="332" t="s">
        <v>14</v>
      </c>
    </row>
    <row r="104" spans="2:10">
      <c r="C104" s="2" t="s">
        <v>383</v>
      </c>
      <c r="D104" s="2"/>
      <c r="E104" s="2"/>
      <c r="F104" s="312"/>
      <c r="G104" s="312"/>
      <c r="H104" s="312"/>
      <c r="I104" s="332" t="s">
        <v>14</v>
      </c>
      <c r="J104" s="332" t="s">
        <v>14</v>
      </c>
    </row>
    <row r="105" spans="2:10">
      <c r="C105" s="2" t="s">
        <v>384</v>
      </c>
      <c r="D105" s="2"/>
      <c r="E105" s="2"/>
      <c r="F105" s="312"/>
      <c r="G105" s="312"/>
      <c r="H105" s="312"/>
      <c r="I105" s="332" t="s">
        <v>14</v>
      </c>
      <c r="J105" s="332" t="s">
        <v>14</v>
      </c>
    </row>
    <row r="106" spans="2:10">
      <c r="C106" s="2" t="s">
        <v>544</v>
      </c>
      <c r="D106" s="2"/>
      <c r="E106" s="2"/>
      <c r="F106" s="312"/>
      <c r="G106" s="312"/>
      <c r="H106" s="312"/>
      <c r="I106" s="332" t="s">
        <v>14</v>
      </c>
      <c r="J106" s="332" t="s">
        <v>14</v>
      </c>
    </row>
    <row r="107" spans="2:10">
      <c r="C107" s="2" t="s">
        <v>385</v>
      </c>
      <c r="D107" s="2"/>
      <c r="E107" s="2"/>
      <c r="F107" s="312"/>
      <c r="G107" s="312"/>
      <c r="H107" s="312"/>
      <c r="I107" s="332" t="s">
        <v>14</v>
      </c>
      <c r="J107" s="332" t="s">
        <v>14</v>
      </c>
    </row>
    <row r="108" spans="2:10">
      <c r="C108" s="2" t="s">
        <v>386</v>
      </c>
      <c r="D108" s="2"/>
      <c r="E108" s="2"/>
      <c r="F108" s="312"/>
      <c r="G108" s="312"/>
      <c r="H108" s="312"/>
      <c r="I108" s="332" t="s">
        <v>14</v>
      </c>
      <c r="J108" s="332" t="s">
        <v>14</v>
      </c>
    </row>
    <row r="109" spans="2:10">
      <c r="C109" s="2" t="s">
        <v>523</v>
      </c>
      <c r="D109" s="2"/>
      <c r="E109" s="2"/>
      <c r="F109" s="312"/>
      <c r="G109" s="312"/>
      <c r="H109" s="312"/>
      <c r="I109" s="332" t="s">
        <v>14</v>
      </c>
      <c r="J109" s="332" t="s">
        <v>14</v>
      </c>
    </row>
    <row r="110" spans="2:10">
      <c r="C110" s="308" t="s">
        <v>526</v>
      </c>
      <c r="D110" s="2"/>
      <c r="E110" s="2"/>
      <c r="F110" s="312"/>
      <c r="G110" s="312"/>
      <c r="H110" s="312"/>
      <c r="I110" s="364" t="s">
        <v>14</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t="s">
        <v>14</v>
      </c>
      <c r="J115" s="332" t="s">
        <v>14</v>
      </c>
    </row>
    <row r="116" spans="3:10">
      <c r="C116" s="315" t="s">
        <v>342</v>
      </c>
      <c r="D116" s="315"/>
      <c r="E116" s="315"/>
      <c r="F116" s="315"/>
      <c r="G116" s="315"/>
      <c r="H116" s="315"/>
      <c r="I116" s="332" t="s">
        <v>14</v>
      </c>
      <c r="J116" s="332" t="s">
        <v>14</v>
      </c>
    </row>
    <row r="117" spans="3:10">
      <c r="C117" s="315" t="s">
        <v>390</v>
      </c>
      <c r="D117" s="315"/>
      <c r="E117" s="315"/>
      <c r="F117" s="315"/>
      <c r="G117" s="315"/>
      <c r="H117" s="315"/>
      <c r="I117" s="332" t="s">
        <v>14</v>
      </c>
      <c r="J117" s="332" t="s">
        <v>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t="s">
        <v>14</v>
      </c>
      <c r="J120" s="332" t="s">
        <v>14</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534"/>
      <c r="J123" s="534"/>
    </row>
    <row r="124" spans="3:10">
      <c r="C124" s="315" t="s">
        <v>392</v>
      </c>
      <c r="D124" s="315"/>
      <c r="E124" s="315"/>
      <c r="F124" s="315"/>
      <c r="G124" s="315"/>
      <c r="H124" s="315"/>
      <c r="I124" s="332" t="s">
        <v>14</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534"/>
      <c r="J128" s="534"/>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t="s">
        <v>14</v>
      </c>
      <c r="J134" s="332" t="s">
        <v>14</v>
      </c>
    </row>
    <row r="135" spans="2:10">
      <c r="C135" s="2" t="s">
        <v>398</v>
      </c>
      <c r="D135" s="2"/>
      <c r="E135" s="2"/>
      <c r="F135" s="312"/>
      <c r="G135" s="312"/>
      <c r="H135" s="312"/>
      <c r="I135" s="332" t="s">
        <v>14</v>
      </c>
      <c r="J135" s="332" t="s">
        <v>14</v>
      </c>
    </row>
    <row r="136" spans="2:10">
      <c r="C136" s="2" t="s">
        <v>399</v>
      </c>
      <c r="D136" s="2"/>
      <c r="E136" s="2"/>
      <c r="F136" s="312"/>
      <c r="G136" s="312"/>
      <c r="H136" s="312"/>
      <c r="I136" s="332" t="s">
        <v>14</v>
      </c>
      <c r="J136" s="332" t="s">
        <v>14</v>
      </c>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332" t="s">
        <v>14</v>
      </c>
      <c r="J139" s="332" t="s">
        <v>14</v>
      </c>
    </row>
    <row r="140" spans="2:10">
      <c r="C140" s="2" t="s">
        <v>402</v>
      </c>
      <c r="D140" s="2"/>
      <c r="E140" s="2"/>
      <c r="F140" s="312"/>
      <c r="G140" s="312"/>
      <c r="H140" s="312"/>
      <c r="I140" s="332" t="s">
        <v>14</v>
      </c>
      <c r="J140" s="332" t="s">
        <v>14</v>
      </c>
    </row>
    <row r="141" spans="2:10">
      <c r="C141" s="312" t="s">
        <v>403</v>
      </c>
      <c r="D141" s="312"/>
      <c r="E141" s="312"/>
      <c r="F141" s="312"/>
      <c r="G141" s="312"/>
      <c r="H141" s="312"/>
      <c r="I141" s="332" t="s">
        <v>14</v>
      </c>
      <c r="J141" s="332" t="s">
        <v>14</v>
      </c>
    </row>
    <row r="142" spans="2:10">
      <c r="C142" s="312" t="s">
        <v>404</v>
      </c>
      <c r="D142" s="312"/>
      <c r="E142" s="312"/>
      <c r="F142" s="312"/>
      <c r="G142" s="312"/>
      <c r="H142" s="312"/>
      <c r="I142" s="332" t="s">
        <v>14</v>
      </c>
      <c r="J142" s="332" t="s">
        <v>14</v>
      </c>
    </row>
    <row r="143" spans="2:10">
      <c r="C143" s="312" t="s">
        <v>405</v>
      </c>
      <c r="D143" s="312"/>
      <c r="E143" s="312"/>
      <c r="F143" s="312"/>
      <c r="G143" s="312"/>
      <c r="H143" s="312"/>
      <c r="I143" s="332" t="s">
        <v>14</v>
      </c>
      <c r="J143" s="332" t="s">
        <v>14</v>
      </c>
    </row>
    <row r="144" spans="2:10">
      <c r="C144" s="2" t="s">
        <v>406</v>
      </c>
      <c r="D144" s="2"/>
      <c r="E144" s="2"/>
      <c r="F144" s="312"/>
      <c r="G144" s="312"/>
      <c r="H144" s="312"/>
      <c r="I144" s="332" t="s">
        <v>14</v>
      </c>
      <c r="J144" s="332" t="s">
        <v>14</v>
      </c>
    </row>
    <row r="145" spans="3:10">
      <c r="C145" s="2" t="s">
        <v>407</v>
      </c>
      <c r="D145" s="2"/>
      <c r="E145" s="2"/>
      <c r="F145" s="312"/>
      <c r="G145" s="312"/>
      <c r="H145" s="312"/>
      <c r="I145" s="332" t="s">
        <v>14</v>
      </c>
      <c r="J145" s="332" t="s">
        <v>14</v>
      </c>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2" t="s">
        <v>14</v>
      </c>
      <c r="J148" s="332" t="s">
        <v>14</v>
      </c>
    </row>
    <row r="149" spans="3:10">
      <c r="C149" s="312" t="s">
        <v>411</v>
      </c>
      <c r="D149" s="312"/>
      <c r="E149" s="312"/>
      <c r="F149" s="312"/>
      <c r="G149" s="312"/>
      <c r="H149" s="312"/>
      <c r="I149" s="332" t="s">
        <v>14</v>
      </c>
      <c r="J149" s="332" t="s">
        <v>14</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2" t="s">
        <v>14</v>
      </c>
      <c r="J154" s="332" t="s">
        <v>14</v>
      </c>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2" t="s">
        <v>14</v>
      </c>
      <c r="J156" s="332" t="s">
        <v>14</v>
      </c>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2" t="s">
        <v>14</v>
      </c>
      <c r="J162" s="332" t="s">
        <v>14</v>
      </c>
    </row>
    <row r="163" spans="3:10">
      <c r="C163" s="312" t="s">
        <v>425</v>
      </c>
      <c r="D163" s="312"/>
      <c r="E163" s="312"/>
      <c r="F163" s="312"/>
      <c r="G163" s="312"/>
      <c r="H163" s="312"/>
      <c r="I163" s="332" t="s">
        <v>14</v>
      </c>
      <c r="J163" s="332" t="s">
        <v>14</v>
      </c>
    </row>
    <row r="164" spans="3:10">
      <c r="C164" s="312" t="s">
        <v>426</v>
      </c>
      <c r="D164" s="312"/>
      <c r="E164" s="312"/>
      <c r="F164" s="312"/>
      <c r="G164" s="312"/>
      <c r="H164" s="312"/>
      <c r="I164" s="332" t="s">
        <v>14</v>
      </c>
      <c r="J164" s="332" t="s">
        <v>14</v>
      </c>
    </row>
    <row r="165" spans="3:10">
      <c r="C165" s="315" t="s">
        <v>427</v>
      </c>
      <c r="D165" s="315"/>
      <c r="E165" s="315"/>
      <c r="F165" s="315"/>
      <c r="G165" s="315"/>
      <c r="H165" s="315"/>
      <c r="I165" s="332" t="s">
        <v>14</v>
      </c>
      <c r="J165" s="332" t="s">
        <v>14</v>
      </c>
    </row>
    <row r="166" spans="3:10">
      <c r="C166" s="315" t="s">
        <v>428</v>
      </c>
      <c r="D166" s="315"/>
      <c r="E166" s="315"/>
      <c r="F166" s="315"/>
      <c r="G166" s="315"/>
      <c r="H166" s="315"/>
      <c r="I166" s="332" t="s">
        <v>14</v>
      </c>
      <c r="J166" s="332" t="s">
        <v>14</v>
      </c>
    </row>
    <row r="167" spans="3:10">
      <c r="C167" s="312" t="s">
        <v>429</v>
      </c>
      <c r="D167" s="312"/>
      <c r="E167" s="312"/>
      <c r="F167" s="312"/>
      <c r="G167" s="312"/>
      <c r="H167" s="312"/>
      <c r="I167" s="332" t="s">
        <v>14</v>
      </c>
      <c r="J167" s="332" t="s">
        <v>14</v>
      </c>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2" t="s">
        <v>14</v>
      </c>
      <c r="J170" s="332" t="s">
        <v>14</v>
      </c>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2" t="s">
        <v>14</v>
      </c>
      <c r="J173" s="332" t="s">
        <v>14</v>
      </c>
    </row>
    <row r="174" spans="3:10">
      <c r="C174" s="315" t="s">
        <v>432</v>
      </c>
      <c r="D174" s="315"/>
      <c r="E174" s="315"/>
      <c r="F174" s="315"/>
      <c r="G174" s="315"/>
      <c r="H174" s="315"/>
      <c r="I174" s="332" t="s">
        <v>14</v>
      </c>
      <c r="J174" s="332" t="s">
        <v>14</v>
      </c>
    </row>
    <row r="175" spans="3:10">
      <c r="C175" s="315" t="s">
        <v>433</v>
      </c>
      <c r="D175" s="315"/>
      <c r="E175" s="315"/>
      <c r="F175" s="315"/>
      <c r="G175" s="315"/>
      <c r="H175" s="315"/>
      <c r="I175" s="332" t="s">
        <v>14</v>
      </c>
      <c r="J175" s="332" t="s">
        <v>14</v>
      </c>
    </row>
    <row r="176" spans="3:10">
      <c r="C176" s="315" t="s">
        <v>434</v>
      </c>
      <c r="D176" s="315"/>
      <c r="E176" s="315"/>
      <c r="F176" s="315"/>
      <c r="G176" s="315"/>
      <c r="H176" s="315"/>
      <c r="I176" s="332" t="s">
        <v>14</v>
      </c>
      <c r="J176" s="332" t="s">
        <v>14</v>
      </c>
    </row>
    <row r="177" spans="3:10">
      <c r="C177" s="315" t="s">
        <v>435</v>
      </c>
      <c r="D177" s="315"/>
      <c r="E177" s="315"/>
      <c r="F177" s="315"/>
      <c r="G177" s="315"/>
      <c r="H177" s="315"/>
      <c r="I177" s="332" t="s">
        <v>14</v>
      </c>
      <c r="J177" s="332" t="s">
        <v>14</v>
      </c>
    </row>
    <row r="178" spans="3:10">
      <c r="C178" s="310" t="s">
        <v>422</v>
      </c>
      <c r="D178" s="310"/>
      <c r="E178" s="310"/>
      <c r="F178" s="312"/>
      <c r="G178" s="312"/>
      <c r="H178" s="312"/>
      <c r="I178" s="332" t="s">
        <v>14</v>
      </c>
      <c r="J178" s="332" t="s">
        <v>14</v>
      </c>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2" t="s">
        <v>14</v>
      </c>
      <c r="J187" s="332" t="s">
        <v>14</v>
      </c>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2" t="s">
        <v>14</v>
      </c>
      <c r="J193" s="332" t="s">
        <v>14</v>
      </c>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2" t="s">
        <v>14</v>
      </c>
      <c r="J210" s="332" t="s">
        <v>14</v>
      </c>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v>40178</v>
      </c>
      <c r="J225" s="364" t="s">
        <v>14</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332" t="s">
        <v>14</v>
      </c>
    </row>
    <row r="231" spans="2:10">
      <c r="C231" s="312" t="s">
        <v>477</v>
      </c>
      <c r="D231" s="312"/>
      <c r="E231" s="312"/>
      <c r="F231" s="312"/>
      <c r="G231" s="312"/>
      <c r="H231" s="312"/>
      <c r="I231" s="332" t="s">
        <v>14</v>
      </c>
      <c r="J231" s="332" t="s">
        <v>14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v>40178</v>
      </c>
      <c r="J235" s="364" t="s">
        <v>14</v>
      </c>
    </row>
    <row r="236" spans="2:10">
      <c r="C236" s="308" t="s">
        <v>480</v>
      </c>
      <c r="D236" s="2"/>
      <c r="E236" s="2"/>
      <c r="F236" s="312"/>
      <c r="G236" s="312"/>
      <c r="H236" s="312"/>
      <c r="I236" s="332" t="s">
        <v>14</v>
      </c>
      <c r="J236" s="332" t="s">
        <v>14</v>
      </c>
    </row>
    <row r="237" spans="2:10">
      <c r="C237" s="2" t="s">
        <v>481</v>
      </c>
      <c r="D237" s="2"/>
      <c r="E237" s="2"/>
      <c r="F237" s="312"/>
      <c r="G237" s="312"/>
      <c r="H237" s="312"/>
      <c r="I237" s="364" t="s">
        <v>14</v>
      </c>
      <c r="J237" s="364" t="s">
        <v>14</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14</v>
      </c>
      <c r="J253" s="332" t="s">
        <v>14</v>
      </c>
    </row>
    <row r="254" spans="2:10">
      <c r="C254" s="308" t="s">
        <v>539</v>
      </c>
      <c r="D254" s="2"/>
      <c r="E254" s="2"/>
      <c r="F254" s="312"/>
      <c r="G254" s="312"/>
      <c r="H254" s="312"/>
      <c r="I254" s="364" t="s">
        <v>14</v>
      </c>
      <c r="J254" s="364" t="s">
        <v>14</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14</v>
      </c>
      <c r="J267" s="332" t="s">
        <v>14</v>
      </c>
    </row>
    <row r="268" spans="2:10">
      <c r="C268" s="312" t="s">
        <v>495</v>
      </c>
      <c r="D268" s="312"/>
      <c r="E268" s="312"/>
      <c r="F268" s="312"/>
      <c r="G268" s="312"/>
      <c r="H268" s="312"/>
      <c r="I268" s="332" t="s">
        <v>14</v>
      </c>
      <c r="J268" s="332" t="s">
        <v>14</v>
      </c>
    </row>
    <row r="269" spans="2:10">
      <c r="C269" s="312" t="s">
        <v>496</v>
      </c>
      <c r="D269" s="312"/>
      <c r="E269" s="312"/>
      <c r="F269" s="312"/>
      <c r="G269" s="312"/>
      <c r="H269" s="312"/>
      <c r="I269" s="332" t="s">
        <v>14</v>
      </c>
      <c r="J269" s="332" t="s">
        <v>14</v>
      </c>
    </row>
    <row r="270" spans="2:10">
      <c r="C270" s="312" t="s">
        <v>497</v>
      </c>
      <c r="D270" s="312"/>
      <c r="E270" s="312"/>
      <c r="F270" s="312"/>
      <c r="G270" s="312"/>
      <c r="H270" s="312"/>
      <c r="I270" s="332" t="s">
        <v>14</v>
      </c>
      <c r="J270" s="332" t="s">
        <v>14</v>
      </c>
    </row>
    <row r="271" spans="2:10">
      <c r="C271" s="312" t="s">
        <v>498</v>
      </c>
      <c r="D271" s="312"/>
      <c r="E271" s="312"/>
      <c r="F271" s="312"/>
      <c r="G271" s="312"/>
      <c r="H271" s="312"/>
      <c r="I271" s="332" t="s">
        <v>14</v>
      </c>
      <c r="J271" s="332" t="s">
        <v>14</v>
      </c>
    </row>
    <row r="272" spans="2:10">
      <c r="C272" s="312" t="s">
        <v>499</v>
      </c>
      <c r="D272" s="312"/>
      <c r="E272" s="312"/>
      <c r="F272" s="312"/>
      <c r="G272" s="312"/>
      <c r="H272" s="312"/>
      <c r="I272" s="332" t="s">
        <v>14</v>
      </c>
      <c r="J272" s="332" t="s">
        <v>14</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I291" s="2"/>
      <c r="J291" s="7"/>
      <c r="K291" s="2"/>
      <c r="L291" s="2"/>
      <c r="M291" s="301"/>
      <c r="N291" s="2"/>
      <c r="O291" s="301"/>
    </row>
  </sheetData>
  <sheetProtection selectLockedCells="1"/>
  <mergeCells count="109">
    <mergeCell ref="I65:J65"/>
    <mergeCell ref="C57:D57"/>
    <mergeCell ref="H57:M57"/>
    <mergeCell ref="C58:D58"/>
    <mergeCell ref="H58:M58"/>
    <mergeCell ref="I63:J63"/>
    <mergeCell ref="I64:J64"/>
    <mergeCell ref="C54:D54"/>
    <mergeCell ref="H54:M54"/>
    <mergeCell ref="C55:D55"/>
    <mergeCell ref="H55:M55"/>
    <mergeCell ref="C56:D56"/>
    <mergeCell ref="H56:M56"/>
    <mergeCell ref="C51:D51"/>
    <mergeCell ref="H51:M51"/>
    <mergeCell ref="C52:D52"/>
    <mergeCell ref="H52:M52"/>
    <mergeCell ref="C53:D53"/>
    <mergeCell ref="H53:M53"/>
    <mergeCell ref="C48:D48"/>
    <mergeCell ref="H48:M48"/>
    <mergeCell ref="C49:D49"/>
    <mergeCell ref="H49:M49"/>
    <mergeCell ref="C50:D50"/>
    <mergeCell ref="H50:M50"/>
    <mergeCell ref="C45:D45"/>
    <mergeCell ref="H45:M45"/>
    <mergeCell ref="C46:D46"/>
    <mergeCell ref="H46:M46"/>
    <mergeCell ref="C47:D47"/>
    <mergeCell ref="H47:M47"/>
    <mergeCell ref="C42:D42"/>
    <mergeCell ref="H42:M42"/>
    <mergeCell ref="C43:D43"/>
    <mergeCell ref="H43:M43"/>
    <mergeCell ref="C44:D44"/>
    <mergeCell ref="H44:M44"/>
    <mergeCell ref="C39:D39"/>
    <mergeCell ref="H39:M39"/>
    <mergeCell ref="C40:D40"/>
    <mergeCell ref="H40:M40"/>
    <mergeCell ref="C41:D41"/>
    <mergeCell ref="H41:M41"/>
    <mergeCell ref="C24:D24"/>
    <mergeCell ref="F24:G24"/>
    <mergeCell ref="K24:M24"/>
    <mergeCell ref="C27:M34"/>
    <mergeCell ref="H37:M37"/>
    <mergeCell ref="C38:D38"/>
    <mergeCell ref="H38:M38"/>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2:K43"/>
  <sheetViews>
    <sheetView workbookViewId="0">
      <selection activeCell="O11" sqref="O11"/>
    </sheetView>
  </sheetViews>
  <sheetFormatPr baseColWidth="10" defaultColWidth="9.1640625" defaultRowHeight="14"/>
  <cols>
    <col min="1" max="1" width="25.1640625" style="179" customWidth="1"/>
    <col min="2" max="2" width="10.5" style="184" bestFit="1" customWidth="1"/>
    <col min="3" max="3" width="11.5" style="184" customWidth="1"/>
    <col min="4" max="4" width="9.1640625" style="184"/>
    <col min="5" max="5" width="14.5" style="184" customWidth="1"/>
    <col min="6" max="6" width="15.33203125" style="184" customWidth="1"/>
    <col min="7" max="7" width="13.1640625" style="184" customWidth="1"/>
    <col min="8" max="8" width="12.83203125" style="179" customWidth="1"/>
    <col min="9" max="9" width="12.6640625" style="179" customWidth="1"/>
    <col min="10" max="10" width="14.83203125" style="184" customWidth="1"/>
    <col min="11" max="11" width="13.83203125" style="184" customWidth="1"/>
    <col min="12" max="16384" width="9.1640625" style="179"/>
  </cols>
  <sheetData>
    <row r="2" spans="1:11" ht="45">
      <c r="A2" s="177" t="s">
        <v>258</v>
      </c>
      <c r="B2" s="178" t="s">
        <v>91</v>
      </c>
      <c r="C2" s="178" t="s">
        <v>1</v>
      </c>
      <c r="D2" s="178" t="s">
        <v>215</v>
      </c>
      <c r="E2" s="178" t="s">
        <v>9</v>
      </c>
      <c r="F2" s="178" t="s">
        <v>46</v>
      </c>
      <c r="G2" s="178" t="s">
        <v>157</v>
      </c>
      <c r="H2" s="178" t="s">
        <v>27</v>
      </c>
      <c r="I2" s="178" t="s">
        <v>259</v>
      </c>
      <c r="J2" s="178" t="s">
        <v>234</v>
      </c>
      <c r="K2" s="178" t="s">
        <v>142</v>
      </c>
    </row>
    <row r="3" spans="1:11" s="180" customFormat="1" ht="30">
      <c r="A3" s="180" t="str">
        <f>Detail!A43</f>
        <v>Englewood Apartments</v>
      </c>
      <c r="B3" s="183" t="str">
        <f>Detail!B43</f>
        <v>M Angelini</v>
      </c>
      <c r="C3" s="183" t="str">
        <f>Detail!C43</f>
        <v>Chicago</v>
      </c>
      <c r="D3" s="182">
        <f>Detail!T43</f>
        <v>99</v>
      </c>
      <c r="E3" s="183" t="str">
        <f>Detail!D43</f>
        <v>New Construction</v>
      </c>
      <c r="F3" s="183" t="str">
        <f>Detail!F43</f>
        <v>Operations - Sub Phase Close Out</v>
      </c>
      <c r="G3" s="183" t="str">
        <f>Detail!V43</f>
        <v>Special Needs (PSH)</v>
      </c>
      <c r="H3" s="181">
        <f>Detail!AB43</f>
        <v>16780500</v>
      </c>
      <c r="I3" s="181">
        <f>Detail!AJ43</f>
        <v>360000</v>
      </c>
      <c r="J3" s="185" t="str">
        <f>Detail!AM43</f>
        <v>MHMG</v>
      </c>
      <c r="K3" s="186">
        <f>Detail!P43</f>
        <v>39783</v>
      </c>
    </row>
    <row r="4" spans="1:11" s="180" customFormat="1" ht="30">
      <c r="A4" s="187" t="str">
        <f>Detail!A27</f>
        <v>Countryside Senior Apts</v>
      </c>
      <c r="B4" s="188" t="str">
        <f>Detail!B27</f>
        <v>L Reyes</v>
      </c>
      <c r="C4" s="188" t="str">
        <f>Detail!C27</f>
        <v>Countryside</v>
      </c>
      <c r="D4" s="189">
        <f>Detail!T27</f>
        <v>70</v>
      </c>
      <c r="E4" s="188" t="str">
        <f>Detail!D27</f>
        <v>New Construction</v>
      </c>
      <c r="F4" s="188" t="str">
        <f>Detail!F27</f>
        <v>Operations - Sub Phase Close Out</v>
      </c>
      <c r="G4" s="188" t="str">
        <f>Detail!V27</f>
        <v>Senior</v>
      </c>
      <c r="H4" s="190">
        <f>Detail!AB27</f>
        <v>16101522</v>
      </c>
      <c r="I4" s="190">
        <f>Detail!AJ27</f>
        <v>1129550</v>
      </c>
      <c r="J4" s="191" t="str">
        <f>Detail!AM27</f>
        <v>MHMG</v>
      </c>
      <c r="K4" s="192">
        <f>Detail!P27</f>
        <v>40057</v>
      </c>
    </row>
    <row r="5" spans="1:11" s="180" customFormat="1" ht="30">
      <c r="A5" s="187" t="str">
        <f>Detail!A29</f>
        <v>Milwaukee - Johnston Center</v>
      </c>
      <c r="B5" s="188" t="str">
        <f>Detail!B29</f>
        <v>D Lyon</v>
      </c>
      <c r="C5" s="188" t="str">
        <f>Detail!C29</f>
        <v>Milwaukee</v>
      </c>
      <c r="D5" s="189">
        <f>Detail!T29</f>
        <v>91</v>
      </c>
      <c r="E5" s="188" t="str">
        <f>Detail!D29</f>
        <v>Adaptive/ Rehab</v>
      </c>
      <c r="F5" s="188" t="str">
        <f>Detail!F29</f>
        <v>Operations - Sub Phase Close Out</v>
      </c>
      <c r="G5" s="188" t="str">
        <f>Detail!V29</f>
        <v>Special Needs (PSH)</v>
      </c>
      <c r="H5" s="190">
        <f>Detail!AB29</f>
        <v>13848000</v>
      </c>
      <c r="I5" s="190">
        <f>Detail!AJ29</f>
        <v>1436566.7356179999</v>
      </c>
      <c r="J5" s="191" t="str">
        <f>Detail!AM29</f>
        <v>MHMG</v>
      </c>
      <c r="K5" s="192">
        <f>Detail!P29</f>
        <v>40148</v>
      </c>
    </row>
    <row r="6" spans="1:11" s="180" customFormat="1" ht="30">
      <c r="A6" s="187" t="str">
        <f>Detail!A31</f>
        <v>Roseland Place</v>
      </c>
      <c r="B6" s="188" t="str">
        <f>Detail!B31</f>
        <v>L Reyes</v>
      </c>
      <c r="C6" s="188" t="str">
        <f>Detail!C31</f>
        <v>Chicago</v>
      </c>
      <c r="D6" s="189">
        <f>Detail!T31</f>
        <v>60</v>
      </c>
      <c r="E6" s="188" t="str">
        <f>Detail!D31</f>
        <v>New Construction</v>
      </c>
      <c r="F6" s="188" t="str">
        <f>Detail!F31</f>
        <v>Operations - Sub Phase Close Out</v>
      </c>
      <c r="G6" s="188" t="str">
        <f>Detail!V31</f>
        <v>Senior</v>
      </c>
      <c r="H6" s="190">
        <f>Detail!AB31</f>
        <v>17786000</v>
      </c>
      <c r="I6" s="190">
        <f>Detail!AJ31</f>
        <v>700570</v>
      </c>
      <c r="J6" s="191" t="str">
        <f>Detail!AM31</f>
        <v>MHMG</v>
      </c>
      <c r="K6" s="192">
        <f>Detail!P31</f>
        <v>40148</v>
      </c>
    </row>
    <row r="7" spans="1:11" s="180" customFormat="1" ht="30">
      <c r="A7" s="187" t="str">
        <f>Detail!A37</f>
        <v>850 N Eastwood</v>
      </c>
      <c r="B7" s="188" t="str">
        <f>Detail!B37</f>
        <v>M Angelini</v>
      </c>
      <c r="C7" s="188" t="str">
        <f>Detail!C37</f>
        <v>Chicago</v>
      </c>
      <c r="D7" s="189">
        <f>Detail!T37</f>
        <v>231</v>
      </c>
      <c r="E7" s="188" t="str">
        <f>Detail!D37</f>
        <v>Acquisition/ Rehab</v>
      </c>
      <c r="F7" s="188" t="str">
        <f>Detail!F37</f>
        <v>Operations - Sub Phase Lease Up</v>
      </c>
      <c r="G7" s="188" t="str">
        <f>Detail!V37</f>
        <v>Family</v>
      </c>
      <c r="H7" s="190">
        <f>Detail!AB37</f>
        <v>53000000</v>
      </c>
      <c r="I7" s="190">
        <f>Detail!AJ37</f>
        <v>3000</v>
      </c>
      <c r="J7" s="191" t="str">
        <f>Detail!AM37</f>
        <v>Leasing &amp; Mgmt Corp.</v>
      </c>
      <c r="K7" s="192">
        <f>Detail!P37</f>
        <v>40391</v>
      </c>
    </row>
    <row r="8" spans="1:11" s="180" customFormat="1" ht="30">
      <c r="A8" s="187" t="str">
        <f>Detail!A36</f>
        <v>Harold Washington Apts</v>
      </c>
      <c r="B8" s="188" t="str">
        <f>Detail!B36</f>
        <v>M Angelini</v>
      </c>
      <c r="C8" s="188" t="str">
        <f>Detail!C36</f>
        <v>Chicago</v>
      </c>
      <c r="D8" s="189">
        <f>Detail!T36</f>
        <v>69</v>
      </c>
      <c r="E8" s="188" t="str">
        <f>Detail!D36</f>
        <v>Refinance/ Rehab</v>
      </c>
      <c r="F8" s="188" t="str">
        <f>Detail!F36</f>
        <v>Operations - Sub Phase Close Out</v>
      </c>
      <c r="G8" s="188" t="str">
        <f>Detail!V36</f>
        <v>Special Needs (PSH)</v>
      </c>
      <c r="H8" s="190">
        <f>Detail!AB36</f>
        <v>15100000</v>
      </c>
      <c r="I8" s="190">
        <f>Detail!AJ36</f>
        <v>997000</v>
      </c>
      <c r="J8" s="191" t="str">
        <f>Detail!AM36</f>
        <v>MHMG</v>
      </c>
      <c r="K8" s="192">
        <f>Detail!P36</f>
        <v>40391</v>
      </c>
    </row>
    <row r="9" spans="1:11" s="180" customFormat="1" ht="15">
      <c r="A9" s="187" t="str">
        <f>Detail!A28</f>
        <v>Grayslake Senior</v>
      </c>
      <c r="B9" s="188" t="str">
        <f>Detail!B28</f>
        <v>L Reyes</v>
      </c>
      <c r="C9" s="188" t="str">
        <f>Detail!C28</f>
        <v>Grayslake</v>
      </c>
      <c r="D9" s="189">
        <f>Detail!T28</f>
        <v>70</v>
      </c>
      <c r="E9" s="188" t="str">
        <f>Detail!D28</f>
        <v>New Construction</v>
      </c>
      <c r="F9" s="188" t="str">
        <f>Detail!F28</f>
        <v>Construction</v>
      </c>
      <c r="G9" s="188" t="str">
        <f>Detail!V28</f>
        <v>Senior</v>
      </c>
      <c r="H9" s="190">
        <f>Detail!AB28</f>
        <v>21400000</v>
      </c>
      <c r="I9" s="190">
        <f>Detail!AJ28</f>
        <v>1522737</v>
      </c>
      <c r="J9" s="191" t="str">
        <f>Detail!AM28</f>
        <v>MHMG</v>
      </c>
      <c r="K9" s="192">
        <f>Detail!P28</f>
        <v>40849</v>
      </c>
    </row>
    <row r="10" spans="1:11" s="180" customFormat="1" ht="30">
      <c r="A10" s="187" t="str">
        <f>Detail!A30</f>
        <v>Pullman Wheelworks</v>
      </c>
      <c r="B10" s="188" t="str">
        <f>Detail!B30</f>
        <v>L Brace</v>
      </c>
      <c r="C10" s="188" t="str">
        <f>Detail!C30</f>
        <v>Chicago</v>
      </c>
      <c r="D10" s="189">
        <f>Detail!T30</f>
        <v>210</v>
      </c>
      <c r="E10" s="188" t="str">
        <f>Detail!D30</f>
        <v>Acquisition/ Rehab</v>
      </c>
      <c r="F10" s="188" t="str">
        <f>Detail!F30</f>
        <v>Construction</v>
      </c>
      <c r="G10" s="188" t="str">
        <f>Detail!V30</f>
        <v>Family</v>
      </c>
      <c r="H10" s="190">
        <f>Detail!AB30</f>
        <v>30136151</v>
      </c>
      <c r="I10" s="190">
        <f>Detail!AJ30</f>
        <v>1100000</v>
      </c>
      <c r="J10" s="191" t="str">
        <f>Detail!AM30</f>
        <v>Leasing and Mgmt Corp.</v>
      </c>
      <c r="K10" s="192">
        <f>Detail!P30</f>
        <v>40878</v>
      </c>
    </row>
    <row r="11" spans="1:11" s="180" customFormat="1" ht="15">
      <c r="A11" s="187" t="str">
        <f>Detail!A39</f>
        <v>Kankakee</v>
      </c>
      <c r="B11" s="188" t="str">
        <f>Detail!B39</f>
        <v>L Reyes</v>
      </c>
      <c r="C11" s="188" t="str">
        <f>Detail!C39</f>
        <v>Kankakee</v>
      </c>
      <c r="D11" s="189">
        <f>Detail!T39</f>
        <v>70</v>
      </c>
      <c r="E11" s="188" t="str">
        <f>Detail!D39</f>
        <v>New Construction</v>
      </c>
      <c r="F11" s="188" t="str">
        <f>Detail!F39</f>
        <v>Development</v>
      </c>
      <c r="G11" s="188" t="str">
        <f>Detail!V39</f>
        <v>Senior</v>
      </c>
      <c r="H11" s="190">
        <f>Detail!AB39</f>
        <v>18900000</v>
      </c>
      <c r="I11" s="190">
        <f>Detail!AJ39</f>
        <v>1256980</v>
      </c>
      <c r="J11" s="191" t="str">
        <f>Detail!AM39</f>
        <v>MHMG</v>
      </c>
      <c r="K11" s="192">
        <f>Detail!P39</f>
        <v>41548</v>
      </c>
    </row>
    <row r="12" spans="1:11" s="180" customFormat="1" ht="15">
      <c r="A12" s="187" t="str">
        <f>Detail!A32</f>
        <v>Sterling Park</v>
      </c>
      <c r="B12" s="188" t="str">
        <f>Detail!B32</f>
        <v>M Angelini</v>
      </c>
      <c r="C12" s="188" t="str">
        <f>Detail!C32</f>
        <v>Chicago</v>
      </c>
      <c r="D12" s="189">
        <f>Detail!T32</f>
        <v>181</v>
      </c>
      <c r="E12" s="188" t="str">
        <f>Detail!D32</f>
        <v>Adaptive/ Rehab</v>
      </c>
      <c r="F12" s="188" t="str">
        <f>Detail!F32</f>
        <v>Development</v>
      </c>
      <c r="G12" s="188" t="str">
        <f>Detail!V32</f>
        <v>Family</v>
      </c>
      <c r="H12" s="190">
        <f>Detail!AB32</f>
        <v>45700000</v>
      </c>
      <c r="I12" s="190">
        <f>Detail!AJ32</f>
        <v>1000000</v>
      </c>
      <c r="J12" s="191" t="str">
        <f>Detail!AM32</f>
        <v>MHMG</v>
      </c>
      <c r="K12" s="192">
        <f>Detail!P32</f>
        <v>41214</v>
      </c>
    </row>
    <row r="13" spans="1:11" s="180" customFormat="1" ht="30">
      <c r="A13" s="187" t="str">
        <f>Detail!A38</f>
        <v>15 Year Refi-Uptown Portfolio</v>
      </c>
      <c r="B13" s="188" t="str">
        <f>Detail!B38</f>
        <v>M Angelini &amp; A Blakley</v>
      </c>
      <c r="C13" s="188" t="str">
        <f>Detail!C38</f>
        <v>Chicago</v>
      </c>
      <c r="D13" s="189">
        <f>Detail!T38</f>
        <v>449</v>
      </c>
      <c r="E13" s="188" t="str">
        <f>Detail!D38</f>
        <v>Refinance/ Rehab</v>
      </c>
      <c r="F13" s="188" t="str">
        <f>Detail!F38</f>
        <v>Feasibility</v>
      </c>
      <c r="G13" s="188" t="str">
        <f>Detail!V38</f>
        <v>Special Needs (PSH)</v>
      </c>
      <c r="H13" s="190">
        <f>Detail!AB38</f>
        <v>43752605</v>
      </c>
      <c r="I13" s="190">
        <f>Detail!AJ38</f>
        <v>1523500</v>
      </c>
      <c r="J13" s="191" t="str">
        <f>Detail!AM38</f>
        <v>MHMG</v>
      </c>
      <c r="K13" s="192">
        <f>Detail!P38</f>
        <v>41244</v>
      </c>
    </row>
    <row r="14" spans="1:11" s="180" customFormat="1" ht="15">
      <c r="A14" s="187" t="str">
        <f>Detail!A26</f>
        <v xml:space="preserve">26th &amp; Kostner/Keating </v>
      </c>
      <c r="B14" s="188" t="str">
        <f>Detail!B26</f>
        <v>L Brace</v>
      </c>
      <c r="C14" s="188" t="str">
        <f>Detail!C26</f>
        <v>Chicago</v>
      </c>
      <c r="D14" s="189">
        <f>Detail!T26</f>
        <v>125</v>
      </c>
      <c r="E14" s="188" t="str">
        <f>Detail!D26</f>
        <v>Adaptive/ Rehab</v>
      </c>
      <c r="F14" s="188" t="str">
        <f>Detail!F26</f>
        <v>Prospect</v>
      </c>
      <c r="G14" s="188" t="str">
        <f>Detail!V26</f>
        <v>Family</v>
      </c>
      <c r="H14" s="190">
        <f>Detail!AB26</f>
        <v>52200000</v>
      </c>
      <c r="I14" s="190">
        <f>Detail!AJ26</f>
        <v>3882726.75</v>
      </c>
      <c r="J14" s="191" t="str">
        <f>Detail!AM26</f>
        <v>MHMG</v>
      </c>
      <c r="K14" s="192">
        <f>Detail!P26</f>
        <v>41244</v>
      </c>
    </row>
    <row r="15" spans="1:11" s="180" customFormat="1" ht="30">
      <c r="A15" s="187" t="str">
        <f>Detail!A41</f>
        <v>Danville VA Hospital Site</v>
      </c>
      <c r="B15" s="188" t="str">
        <f>Detail!B41</f>
        <v>D Lyon</v>
      </c>
      <c r="C15" s="188" t="str">
        <f>Detail!C41</f>
        <v>Danville</v>
      </c>
      <c r="D15" s="189">
        <f>Detail!T41</f>
        <v>65</v>
      </c>
      <c r="E15" s="188" t="str">
        <f>Detail!D41</f>
        <v>New Construction</v>
      </c>
      <c r="F15" s="188" t="str">
        <f>Detail!F41</f>
        <v>Feasibility</v>
      </c>
      <c r="G15" s="188" t="str">
        <f>Detail!V41</f>
        <v>Special Needs (PSH)</v>
      </c>
      <c r="H15" s="190">
        <f>Detail!AB41</f>
        <v>20000000</v>
      </c>
      <c r="I15" s="190">
        <f>Detail!AJ41</f>
        <v>1303125</v>
      </c>
      <c r="J15" s="191" t="str">
        <f>Detail!AM41</f>
        <v>MHMG</v>
      </c>
      <c r="K15" s="192">
        <f>Detail!P41</f>
        <v>41244</v>
      </c>
    </row>
    <row r="16" spans="1:11" s="180" customFormat="1" ht="15">
      <c r="A16" s="187" t="str">
        <f>Detail!A42</f>
        <v>Children's Memorial Site</v>
      </c>
      <c r="B16" s="188" t="str">
        <f>Detail!B42</f>
        <v>M Angelini</v>
      </c>
      <c r="C16" s="188" t="str">
        <f>Detail!C42</f>
        <v>Chicago</v>
      </c>
      <c r="D16" s="189">
        <f>Detail!T42</f>
        <v>95</v>
      </c>
      <c r="E16" s="188" t="str">
        <f>Detail!D42</f>
        <v>Adaptive/ Rehab</v>
      </c>
      <c r="F16" s="188" t="str">
        <f>Detail!F42</f>
        <v>Prospect</v>
      </c>
      <c r="G16" s="188" t="str">
        <f>Detail!V42</f>
        <v>Senior</v>
      </c>
      <c r="H16" s="190">
        <f>Detail!AB42</f>
        <v>17500000</v>
      </c>
      <c r="I16" s="190">
        <f>Detail!AJ42</f>
        <v>1312500</v>
      </c>
      <c r="J16" s="191" t="str">
        <f>Detail!AM42</f>
        <v>MHMG</v>
      </c>
      <c r="K16" s="192">
        <f>Detail!P42</f>
        <v>41334</v>
      </c>
    </row>
    <row r="17" spans="1:11" s="180" customFormat="1" ht="30">
      <c r="A17" s="187" t="str">
        <f>Detail!A35</f>
        <v>YMCA Austin</v>
      </c>
      <c r="B17" s="188" t="str">
        <f>Detail!B35</f>
        <v>L Brace</v>
      </c>
      <c r="C17" s="188" t="str">
        <f>Detail!C35</f>
        <v>Chicago</v>
      </c>
      <c r="D17" s="189">
        <f>Detail!T35</f>
        <v>160</v>
      </c>
      <c r="E17" s="188" t="str">
        <f>Detail!D35</f>
        <v>New Construction</v>
      </c>
      <c r="F17" s="188" t="str">
        <f>Detail!F35</f>
        <v>Prospect</v>
      </c>
      <c r="G17" s="188" t="str">
        <f>Detail!V35</f>
        <v>Special Needs (PSH)</v>
      </c>
      <c r="H17" s="190">
        <f>Detail!AB35</f>
        <v>32000000</v>
      </c>
      <c r="I17" s="190">
        <f>Detail!AJ35</f>
        <v>999999.99999999953</v>
      </c>
      <c r="J17" s="191" t="str">
        <f>Detail!AM35</f>
        <v>MHMG</v>
      </c>
      <c r="K17" s="192">
        <f>Detail!P35</f>
        <v>41548</v>
      </c>
    </row>
    <row r="18" spans="1:11" s="180" customFormat="1" ht="30">
      <c r="A18" s="187" t="str">
        <f>Detail!A33</f>
        <v>5th Ward Senior Project/ Milwaukee</v>
      </c>
      <c r="B18" s="188" t="str">
        <f>Detail!B33</f>
        <v>D Lyon</v>
      </c>
      <c r="C18" s="188" t="str">
        <f>Detail!C33</f>
        <v>Milwaukee</v>
      </c>
      <c r="D18" s="189">
        <f>Detail!T33</f>
        <v>55</v>
      </c>
      <c r="E18" s="188" t="str">
        <f>Detail!D33</f>
        <v>New Construction</v>
      </c>
      <c r="F18" s="188" t="str">
        <f>Detail!F33</f>
        <v>Development</v>
      </c>
      <c r="G18" s="188" t="str">
        <f>Detail!V33</f>
        <v>Senior</v>
      </c>
      <c r="H18" s="190">
        <f>Detail!AB33</f>
        <v>9500000</v>
      </c>
      <c r="I18" s="190">
        <f>Detail!AJ33</f>
        <v>666750</v>
      </c>
      <c r="J18" s="191" t="str">
        <f>Detail!AM33</f>
        <v>MHMG</v>
      </c>
      <c r="K18" s="192">
        <f>Detail!P33</f>
        <v>41609</v>
      </c>
    </row>
    <row r="19" spans="1:11" s="180" customFormat="1" ht="15">
      <c r="A19" s="187" t="str">
        <f>Detail!A40</f>
        <v>Johnston Center 2</v>
      </c>
      <c r="B19" s="188" t="str">
        <f>Detail!B40</f>
        <v>D Lyon</v>
      </c>
      <c r="C19" s="188" t="str">
        <f>Detail!C40</f>
        <v>Milwaukee</v>
      </c>
      <c r="D19" s="189">
        <f>Detail!T40</f>
        <v>55</v>
      </c>
      <c r="E19" s="188" t="str">
        <f>Detail!D40</f>
        <v>New Construction</v>
      </c>
      <c r="F19" s="188" t="str">
        <f>Detail!F40</f>
        <v>Prospect</v>
      </c>
      <c r="G19" s="188" t="str">
        <f>Detail!V40</f>
        <v>Family</v>
      </c>
      <c r="H19" s="190">
        <f>Detail!AB40</f>
        <v>9625000</v>
      </c>
      <c r="I19" s="190">
        <f>Detail!AJ40</f>
        <v>675000</v>
      </c>
      <c r="J19" s="191" t="str">
        <f>Detail!AM40</f>
        <v>MHMG</v>
      </c>
      <c r="K19" s="192">
        <f>Detail!P40</f>
        <v>41609</v>
      </c>
    </row>
    <row r="20" spans="1:11" s="180" customFormat="1" ht="15">
      <c r="A20" s="187" t="str">
        <f>Detail!A34</f>
        <v>Milwaukee Greenwich Apartments</v>
      </c>
      <c r="B20" s="188" t="str">
        <f>Detail!B34</f>
        <v>D Lyon</v>
      </c>
      <c r="C20" s="188" t="str">
        <f>Detail!C34</f>
        <v>Milwaukee</v>
      </c>
      <c r="D20" s="189">
        <f>Detail!T34</f>
        <v>55</v>
      </c>
      <c r="E20" s="188" t="str">
        <f>Detail!D34</f>
        <v>New Construction</v>
      </c>
      <c r="F20" s="188" t="str">
        <f>Detail!F34</f>
        <v>Development</v>
      </c>
      <c r="G20" s="188" t="str">
        <f>Detail!V34</f>
        <v>Family</v>
      </c>
      <c r="H20" s="190">
        <f>Detail!AB34</f>
        <v>11000000</v>
      </c>
      <c r="I20" s="190">
        <f>Detail!AJ34</f>
        <v>789000</v>
      </c>
      <c r="J20" s="191" t="str">
        <f>Detail!AM34</f>
        <v>MHMG</v>
      </c>
      <c r="K20" s="192">
        <f>Detail!P34</f>
        <v>41609</v>
      </c>
    </row>
    <row r="21" spans="1:11" s="180" customFormat="1" ht="15">
      <c r="A21" s="187" t="str">
        <f>Detail!A47</f>
        <v>Westside Resyndication</v>
      </c>
      <c r="B21" s="188" t="str">
        <f>Detail!B47</f>
        <v>A Blakley</v>
      </c>
      <c r="C21" s="188" t="str">
        <f>Detail!C47</f>
        <v>Chicago</v>
      </c>
      <c r="D21" s="189">
        <f>Detail!T47</f>
        <v>315</v>
      </c>
      <c r="E21" s="188" t="str">
        <f>Detail!D47</f>
        <v>Refinance/ Rehab</v>
      </c>
      <c r="F21" s="188" t="str">
        <f>Detail!F47</f>
        <v>Feasibility</v>
      </c>
      <c r="G21" s="188" t="str">
        <f>Detail!V47</f>
        <v>Family</v>
      </c>
      <c r="H21" s="190">
        <f>Detail!AB47</f>
        <v>30712500</v>
      </c>
      <c r="I21" s="190">
        <f>Detail!AJ47</f>
        <v>999999.49999999953</v>
      </c>
      <c r="J21" s="191" t="str">
        <f>Detail!AM47</f>
        <v>MHMG</v>
      </c>
      <c r="K21" s="192">
        <f>Detail!P47</f>
        <v>41609</v>
      </c>
    </row>
    <row r="22" spans="1:11" s="180" customFormat="1" ht="15">
      <c r="A22" s="180" t="str">
        <f>Detail!A44</f>
        <v>Menomonee River Valley</v>
      </c>
      <c r="B22" s="183" t="str">
        <f>Detail!B44</f>
        <v>D Lyon</v>
      </c>
      <c r="C22" s="183" t="str">
        <f>Detail!C44</f>
        <v>Milwaukee</v>
      </c>
      <c r="D22" s="182">
        <f>Detail!T44</f>
        <v>60</v>
      </c>
      <c r="E22" s="183" t="str">
        <f>Detail!D44</f>
        <v>New Construction</v>
      </c>
      <c r="F22" s="183" t="str">
        <f>Detail!F44</f>
        <v>Prospect</v>
      </c>
      <c r="G22" s="183" t="str">
        <f>Detail!V44</f>
        <v>Family</v>
      </c>
      <c r="H22" s="197" t="str">
        <f>Detail!AB44</f>
        <v>TBD</v>
      </c>
      <c r="I22" s="197" t="str">
        <f>Detail!AJ44</f>
        <v>TBD</v>
      </c>
      <c r="J22" s="185" t="str">
        <f>Detail!AM44</f>
        <v>MHMG</v>
      </c>
      <c r="K22" s="186">
        <f>Detail!P44</f>
        <v>41974</v>
      </c>
    </row>
    <row r="23" spans="1:11" s="180" customFormat="1" ht="15">
      <c r="A23" s="187" t="str">
        <f>Detail!A45</f>
        <v>Pullman Wheelworks, Phase 2</v>
      </c>
      <c r="B23" s="188" t="str">
        <f>Detail!B45</f>
        <v>M Angelini</v>
      </c>
      <c r="C23" s="188" t="str">
        <f>Detail!C45</f>
        <v>Chicago</v>
      </c>
      <c r="D23" s="189">
        <f>Detail!T45</f>
        <v>60</v>
      </c>
      <c r="E23" s="188" t="str">
        <f>Detail!D45</f>
        <v>New Construction</v>
      </c>
      <c r="F23" s="188" t="str">
        <f>Detail!F45</f>
        <v>Prospect</v>
      </c>
      <c r="G23" s="188" t="str">
        <f>Detail!V45</f>
        <v>Senior</v>
      </c>
      <c r="H23" s="193" t="str">
        <f>Detail!AB45</f>
        <v>TBD</v>
      </c>
      <c r="I23" s="193" t="str">
        <f>Detail!AJ45</f>
        <v>TBD</v>
      </c>
      <c r="J23" s="191" t="str">
        <f>Detail!AM45</f>
        <v>MHMG</v>
      </c>
      <c r="K23" s="192">
        <f>Detail!P45</f>
        <v>41974</v>
      </c>
    </row>
    <row r="24" spans="1:11" s="180" customFormat="1" ht="30">
      <c r="A24" s="187" t="str">
        <f>Detail!A46</f>
        <v>Danville VA Hospital Site - Phase 2</v>
      </c>
      <c r="B24" s="188" t="str">
        <f>Detail!B46</f>
        <v>D Lyon</v>
      </c>
      <c r="C24" s="188" t="str">
        <f>Detail!C46</f>
        <v>Danville</v>
      </c>
      <c r="D24" s="189">
        <f>Detail!T46</f>
        <v>65</v>
      </c>
      <c r="E24" s="188" t="str">
        <f>Detail!D46</f>
        <v>New Construction</v>
      </c>
      <c r="F24" s="188" t="str">
        <f>Detail!F46</f>
        <v>Feasibility</v>
      </c>
      <c r="G24" s="188" t="str">
        <f>Detail!V46</f>
        <v>Special Needs (PSH)</v>
      </c>
      <c r="H24" s="190">
        <f>Detail!AB46</f>
        <v>20000000</v>
      </c>
      <c r="I24" s="190">
        <f>Detail!AJ46</f>
        <v>1303125</v>
      </c>
      <c r="J24" s="191" t="str">
        <f>Detail!AM46</f>
        <v>MHMG</v>
      </c>
      <c r="K24" s="192">
        <f>Detail!P46</f>
        <v>41974</v>
      </c>
    </row>
    <row r="25" spans="1:11" s="180" customFormat="1" ht="15" hidden="1">
      <c r="A25" s="187" t="str">
        <f>Detail!A48</f>
        <v>MuskegonTrinity site</v>
      </c>
      <c r="B25" s="188">
        <f>Detail!B48</f>
        <v>0</v>
      </c>
      <c r="C25" s="188" t="str">
        <f>Detail!C48</f>
        <v>Muskegon, MI</v>
      </c>
      <c r="D25" s="189">
        <f>Detail!T48</f>
        <v>0</v>
      </c>
      <c r="E25" s="188" t="str">
        <f>Detail!D48</f>
        <v>Adaptive/ Rehab</v>
      </c>
      <c r="F25" s="188" t="str">
        <f>Detail!F48</f>
        <v>Feasibility</v>
      </c>
      <c r="G25" s="188" t="str">
        <f>Detail!V48</f>
        <v>Family</v>
      </c>
      <c r="H25" s="190">
        <f>Detail!AB48</f>
        <v>0</v>
      </c>
      <c r="I25" s="190">
        <f>Detail!AJ48</f>
        <v>0</v>
      </c>
      <c r="J25" s="191" t="str">
        <f>Detail!AM48</f>
        <v>MHMG</v>
      </c>
      <c r="K25" s="192">
        <f>Detail!P48</f>
        <v>0</v>
      </c>
    </row>
    <row r="26" spans="1:11" s="180" customFormat="1" ht="15" hidden="1">
      <c r="A26" s="187" t="str">
        <f>Detail!A49</f>
        <v>Mercy Housing/Ickes Site</v>
      </c>
      <c r="B26" s="188">
        <f>Detail!B49</f>
        <v>0</v>
      </c>
      <c r="C26" s="188" t="str">
        <f>Detail!C49</f>
        <v>Chicago</v>
      </c>
      <c r="D26" s="189">
        <f>Detail!T49</f>
        <v>0</v>
      </c>
      <c r="E26" s="188" t="str">
        <f>Detail!D49</f>
        <v>New Construction</v>
      </c>
      <c r="F26" s="188" t="str">
        <f>Detail!F49</f>
        <v>Feasibility</v>
      </c>
      <c r="G26" s="188" t="str">
        <f>Detail!V49</f>
        <v>Family</v>
      </c>
      <c r="H26" s="190">
        <f>Detail!AB49</f>
        <v>0</v>
      </c>
      <c r="I26" s="190">
        <f>Detail!AJ49</f>
        <v>0</v>
      </c>
      <c r="J26" s="191" t="str">
        <f>Detail!AM49</f>
        <v>MHMG</v>
      </c>
      <c r="K26" s="192">
        <f>Detail!P49</f>
        <v>0</v>
      </c>
    </row>
    <row r="27" spans="1:11" s="180" customFormat="1">
      <c r="B27" s="183"/>
      <c r="C27" s="183"/>
      <c r="D27" s="183"/>
      <c r="E27" s="183"/>
      <c r="F27" s="183"/>
      <c r="G27" s="183"/>
      <c r="J27" s="183"/>
      <c r="K27" s="183"/>
    </row>
    <row r="28" spans="1:11" s="180" customFormat="1" ht="15">
      <c r="A28" s="194" t="s">
        <v>12</v>
      </c>
      <c r="B28" s="195"/>
      <c r="C28" s="195"/>
      <c r="D28" s="196">
        <f>SUM(D3:D27)</f>
        <v>2710</v>
      </c>
      <c r="E28" s="196"/>
      <c r="F28" s="196"/>
      <c r="G28" s="196"/>
      <c r="H28" s="196">
        <f t="shared" ref="H28:I28" si="0">SUM(H3:H27)</f>
        <v>495042278</v>
      </c>
      <c r="I28" s="196">
        <f t="shared" si="0"/>
        <v>22962129.985617999</v>
      </c>
      <c r="J28" s="195"/>
      <c r="K28" s="195"/>
    </row>
    <row r="29" spans="1:11" s="180" customFormat="1">
      <c r="B29" s="183"/>
      <c r="C29" s="183"/>
      <c r="D29" s="183"/>
      <c r="E29" s="183"/>
      <c r="F29" s="183"/>
      <c r="G29" s="183"/>
      <c r="J29" s="183"/>
      <c r="K29" s="183"/>
    </row>
    <row r="30" spans="1:11" s="180" customFormat="1">
      <c r="B30" s="183"/>
      <c r="C30" s="183"/>
      <c r="D30" s="183"/>
      <c r="E30" s="183"/>
      <c r="F30" s="183"/>
      <c r="G30" s="183"/>
      <c r="J30" s="183"/>
      <c r="K30" s="183"/>
    </row>
    <row r="31" spans="1:11" s="180" customFormat="1">
      <c r="B31" s="183"/>
      <c r="C31" s="183"/>
      <c r="D31" s="183"/>
      <c r="E31" s="183"/>
      <c r="F31" s="183"/>
      <c r="G31" s="183"/>
      <c r="J31" s="183"/>
      <c r="K31" s="183"/>
    </row>
    <row r="32" spans="1:11" s="180" customFormat="1">
      <c r="B32" s="183"/>
      <c r="C32" s="183"/>
      <c r="D32" s="183"/>
      <c r="E32" s="183"/>
      <c r="F32" s="183"/>
      <c r="G32" s="183"/>
      <c r="J32" s="183"/>
      <c r="K32" s="183"/>
    </row>
    <row r="33" spans="2:11" s="180" customFormat="1">
      <c r="B33" s="183"/>
      <c r="C33" s="183"/>
      <c r="D33" s="183"/>
      <c r="E33" s="183"/>
      <c r="F33" s="183"/>
      <c r="G33" s="183"/>
      <c r="J33" s="183"/>
      <c r="K33" s="183"/>
    </row>
    <row r="34" spans="2:11" s="180" customFormat="1">
      <c r="B34" s="183"/>
      <c r="C34" s="183"/>
      <c r="D34" s="183"/>
      <c r="E34" s="183"/>
      <c r="F34" s="183"/>
      <c r="G34" s="183"/>
      <c r="J34" s="183"/>
      <c r="K34" s="183"/>
    </row>
    <row r="35" spans="2:11" s="180" customFormat="1">
      <c r="B35" s="183"/>
      <c r="C35" s="183"/>
      <c r="D35" s="183"/>
      <c r="E35" s="183"/>
      <c r="F35" s="183"/>
      <c r="G35" s="183"/>
      <c r="J35" s="183"/>
      <c r="K35" s="183"/>
    </row>
    <row r="36" spans="2:11" s="180" customFormat="1">
      <c r="B36" s="183"/>
      <c r="C36" s="183"/>
      <c r="D36" s="183"/>
      <c r="E36" s="183"/>
      <c r="F36" s="183"/>
      <c r="G36" s="183"/>
      <c r="J36" s="183"/>
      <c r="K36" s="183"/>
    </row>
    <row r="37" spans="2:11" s="180" customFormat="1">
      <c r="B37" s="183"/>
      <c r="C37" s="183"/>
      <c r="D37" s="183"/>
      <c r="E37" s="183"/>
      <c r="F37" s="183"/>
      <c r="G37" s="183"/>
      <c r="J37" s="183"/>
      <c r="K37" s="183"/>
    </row>
    <row r="38" spans="2:11" s="180" customFormat="1">
      <c r="B38" s="183"/>
      <c r="C38" s="183"/>
      <c r="D38" s="183"/>
      <c r="E38" s="183"/>
      <c r="F38" s="183"/>
      <c r="G38" s="183"/>
      <c r="J38" s="183"/>
      <c r="K38" s="183"/>
    </row>
    <row r="39" spans="2:11" s="180" customFormat="1">
      <c r="B39" s="183"/>
      <c r="C39" s="183"/>
      <c r="D39" s="183"/>
      <c r="E39" s="183"/>
      <c r="F39" s="183"/>
      <c r="G39" s="183"/>
      <c r="J39" s="183"/>
      <c r="K39" s="183"/>
    </row>
    <row r="40" spans="2:11" s="180" customFormat="1">
      <c r="B40" s="183"/>
      <c r="C40" s="183"/>
      <c r="D40" s="183"/>
      <c r="E40" s="183"/>
      <c r="F40" s="183"/>
      <c r="G40" s="183"/>
      <c r="J40" s="183"/>
      <c r="K40" s="183"/>
    </row>
    <row r="41" spans="2:11" s="180" customFormat="1">
      <c r="B41" s="183"/>
      <c r="C41" s="183"/>
      <c r="D41" s="183"/>
      <c r="E41" s="183"/>
      <c r="F41" s="183"/>
      <c r="G41" s="183"/>
      <c r="J41" s="183"/>
      <c r="K41" s="183"/>
    </row>
    <row r="42" spans="2:11" s="180" customFormat="1">
      <c r="B42" s="183"/>
      <c r="C42" s="183"/>
      <c r="D42" s="183"/>
      <c r="E42" s="183"/>
      <c r="F42" s="183"/>
      <c r="G42" s="183"/>
      <c r="J42" s="183"/>
      <c r="K42" s="183"/>
    </row>
    <row r="43" spans="2:11" s="180" customFormat="1">
      <c r="B43" s="183"/>
      <c r="C43" s="183"/>
      <c r="D43" s="183"/>
      <c r="E43" s="183"/>
      <c r="F43" s="183"/>
      <c r="G43" s="183"/>
      <c r="J43" s="183"/>
      <c r="K43" s="183"/>
    </row>
  </sheetData>
  <sortState ref="A3:K24">
    <sortCondition ref="K3:K24"/>
  </sortState>
  <pageMargins left="0.23" right="0.16" top="0.41" bottom="0.38" header="0.18" footer="0.17"/>
  <pageSetup scale="85" orientation="landscape" r:id="rId1"/>
  <headerFooter>
    <oddHeader>&amp;CLIST OF ACTIVE PROJECTS IN PIPELINE</oddHeader>
    <oddFooter>&amp;C&amp;D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9">
    <tabColor rgb="FF92D050"/>
  </sheetPr>
  <dimension ref="B1:U291"/>
  <sheetViews>
    <sheetView topLeftCell="A2" workbookViewId="0">
      <selection activeCell="AA28" sqref="AA28"/>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Detail!A32</f>
        <v>Sterling Park</v>
      </c>
      <c r="D2" s="341"/>
      <c r="E2" s="341"/>
      <c r="F2" s="120"/>
      <c r="G2" s="120"/>
      <c r="H2" s="120"/>
      <c r="I2" s="120"/>
      <c r="J2" s="120"/>
      <c r="K2" s="120"/>
      <c r="L2" s="120"/>
      <c r="M2" s="121"/>
      <c r="N2" s="319"/>
    </row>
    <row r="3" spans="2:21" s="122" customFormat="1" ht="20.25" customHeight="1" thickBot="1">
      <c r="B3" s="319"/>
      <c r="C3" s="136" t="str">
        <f>Detail!B32</f>
        <v>M Angelini</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Detail!V32</f>
        <v>Family</v>
      </c>
      <c r="G6" s="836"/>
      <c r="H6" s="357"/>
      <c r="I6" s="833" t="s">
        <v>219</v>
      </c>
      <c r="J6" s="834"/>
      <c r="K6" s="834"/>
      <c r="L6" s="837" t="str">
        <f>Detail!I32</f>
        <v>LIHTC - 4%</v>
      </c>
      <c r="M6" s="838"/>
      <c r="N6" s="318"/>
    </row>
    <row r="7" spans="2:21" ht="17.25" customHeight="1">
      <c r="B7" s="318"/>
      <c r="C7" s="796" t="s">
        <v>214</v>
      </c>
      <c r="D7" s="797"/>
      <c r="E7" s="352"/>
      <c r="F7" s="819" t="str">
        <f>Detail!C32</f>
        <v>Chicago</v>
      </c>
      <c r="G7" s="820"/>
      <c r="H7" s="357"/>
      <c r="I7" s="796" t="s">
        <v>183</v>
      </c>
      <c r="J7" s="797"/>
      <c r="K7" s="797"/>
      <c r="L7" s="830" t="str">
        <f>Detail!J32</f>
        <v>Local: City/County Funding</v>
      </c>
      <c r="M7" s="831"/>
      <c r="N7" s="318"/>
    </row>
    <row r="8" spans="2:21">
      <c r="B8" s="318"/>
      <c r="C8" s="796" t="s">
        <v>9</v>
      </c>
      <c r="D8" s="797"/>
      <c r="E8" s="352"/>
      <c r="F8" s="819" t="str">
        <f>Detail!D32</f>
        <v>Adaptive/ Rehab</v>
      </c>
      <c r="G8" s="820"/>
      <c r="H8" s="357"/>
      <c r="I8" s="796" t="s">
        <v>184</v>
      </c>
      <c r="J8" s="797"/>
      <c r="K8" s="797"/>
      <c r="L8" s="830" t="str">
        <f>Detail!K32</f>
        <v>Grant Funding - Public or Private</v>
      </c>
      <c r="M8" s="831"/>
      <c r="N8" s="318"/>
    </row>
    <row r="9" spans="2:21" ht="34.5" customHeight="1">
      <c r="B9" s="318"/>
      <c r="C9" s="796" t="s">
        <v>215</v>
      </c>
      <c r="D9" s="797"/>
      <c r="E9" s="353"/>
      <c r="F9" s="832">
        <f>Detail!T32</f>
        <v>181</v>
      </c>
      <c r="G9" s="820"/>
      <c r="H9" s="357"/>
      <c r="I9" s="796" t="s">
        <v>185</v>
      </c>
      <c r="J9" s="797"/>
      <c r="K9" s="797"/>
      <c r="L9" s="830" t="str">
        <f>Detail!L32</f>
        <v>N/A</v>
      </c>
      <c r="M9" s="831"/>
      <c r="N9" s="318"/>
    </row>
    <row r="10" spans="2:21" ht="17.25" customHeight="1">
      <c r="B10" s="318"/>
      <c r="C10" s="796" t="s">
        <v>216</v>
      </c>
      <c r="D10" s="797"/>
      <c r="E10" s="352"/>
      <c r="F10" s="819" t="str">
        <f>Detail!V32</f>
        <v>Family</v>
      </c>
      <c r="G10" s="820"/>
      <c r="H10" s="357"/>
      <c r="I10" s="796" t="s">
        <v>44</v>
      </c>
      <c r="J10" s="797"/>
      <c r="K10" s="797"/>
      <c r="L10" s="800">
        <f>Detail!AB32</f>
        <v>45700000</v>
      </c>
      <c r="M10" s="801"/>
      <c r="N10" s="318"/>
    </row>
    <row r="11" spans="2:21" ht="17.25" customHeight="1">
      <c r="B11" s="318"/>
      <c r="C11" s="361"/>
      <c r="D11" s="362"/>
      <c r="E11" s="352"/>
      <c r="F11" s="819" t="str">
        <f>Detail!W32</f>
        <v>Workforce</v>
      </c>
      <c r="G11" s="820"/>
      <c r="H11" s="357"/>
      <c r="I11" s="796" t="s">
        <v>602</v>
      </c>
      <c r="J11" s="797"/>
      <c r="K11" s="512"/>
      <c r="L11" s="828" t="str">
        <f>Detail!AG32</f>
        <v>TBD</v>
      </c>
      <c r="M11" s="829"/>
      <c r="N11" s="318"/>
    </row>
    <row r="12" spans="2:21" ht="32.25" customHeight="1">
      <c r="B12" s="318"/>
      <c r="C12" s="361"/>
      <c r="D12" s="362"/>
      <c r="E12" s="352"/>
      <c r="F12" s="819" t="str">
        <f>Detail!X32</f>
        <v>N/A</v>
      </c>
      <c r="G12" s="820"/>
      <c r="H12" s="357"/>
      <c r="I12" s="796" t="s">
        <v>603</v>
      </c>
      <c r="J12" s="797"/>
      <c r="K12" s="797"/>
      <c r="L12" s="825" t="str">
        <f>Detail!N32</f>
        <v>Self Generated at Closing</v>
      </c>
      <c r="M12" s="826"/>
      <c r="N12" s="318"/>
    </row>
    <row r="13" spans="2:21" ht="17.25" customHeight="1">
      <c r="B13" s="318"/>
      <c r="C13" s="796" t="s">
        <v>525</v>
      </c>
      <c r="D13" s="797"/>
      <c r="E13" s="354"/>
      <c r="F13" s="827" t="str">
        <f>Detail!AM32</f>
        <v>MHMG</v>
      </c>
      <c r="G13" s="820"/>
      <c r="H13" s="357"/>
      <c r="I13" s="796" t="s">
        <v>256</v>
      </c>
      <c r="J13" s="797"/>
      <c r="K13" s="797"/>
      <c r="L13" s="800">
        <f>Detail!AC32</f>
        <v>14400310</v>
      </c>
      <c r="M13" s="801"/>
      <c r="N13" s="318"/>
    </row>
    <row r="14" spans="2:21" ht="17.25" customHeight="1">
      <c r="B14" s="318"/>
      <c r="C14" s="796" t="s">
        <v>172</v>
      </c>
      <c r="D14" s="797"/>
      <c r="E14" s="352"/>
      <c r="F14" s="819" t="str">
        <f>Detail!Z32</f>
        <v>Service Coordination</v>
      </c>
      <c r="G14" s="820"/>
      <c r="H14" s="357"/>
      <c r="I14" s="796" t="s">
        <v>257</v>
      </c>
      <c r="J14" s="797"/>
      <c r="K14" s="797"/>
      <c r="L14" s="800">
        <f>Detail!AF32</f>
        <v>13680294.5</v>
      </c>
      <c r="M14" s="801"/>
      <c r="N14" s="318"/>
    </row>
    <row r="15" spans="2:21" ht="17.25" customHeight="1" thickBot="1">
      <c r="B15" s="318"/>
      <c r="C15" s="796" t="s">
        <v>217</v>
      </c>
      <c r="D15" s="797"/>
      <c r="E15" s="355"/>
      <c r="F15" s="819" t="str">
        <f>Detail!AA32</f>
        <v>TBD</v>
      </c>
      <c r="G15" s="820"/>
      <c r="H15" s="357"/>
      <c r="I15" s="821" t="s">
        <v>255</v>
      </c>
      <c r="J15" s="822"/>
      <c r="K15" s="822"/>
      <c r="L15" s="823">
        <f>Detail!AD32</f>
        <v>1440031</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Detail!AH32</f>
        <v>2718225</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Detail!AJ32</f>
        <v>1000000</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Detail!AI32</f>
        <v>1718225</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6" thickTop="1">
      <c r="B21" s="320"/>
      <c r="C21" s="804" t="s">
        <v>46</v>
      </c>
      <c r="D21" s="805"/>
      <c r="E21" s="349"/>
      <c r="F21" s="806" t="str">
        <f>Detail!F32</f>
        <v>Development</v>
      </c>
      <c r="G21" s="807"/>
      <c r="H21" s="359"/>
      <c r="I21" s="804" t="s">
        <v>226</v>
      </c>
      <c r="J21" s="805"/>
      <c r="K21" s="805"/>
      <c r="L21" s="808">
        <f>Detail!Q32</f>
        <v>0</v>
      </c>
      <c r="M21" s="809"/>
      <c r="N21" s="320"/>
    </row>
    <row r="22" spans="2:21" s="88" customFormat="1" ht="17.25" customHeight="1">
      <c r="B22" s="320"/>
      <c r="C22" s="796" t="s">
        <v>223</v>
      </c>
      <c r="D22" s="797"/>
      <c r="E22" s="348"/>
      <c r="F22" s="798">
        <f>Detail!P32</f>
        <v>41214</v>
      </c>
      <c r="G22" s="799"/>
      <c r="H22" s="359"/>
      <c r="I22" s="796" t="s">
        <v>227</v>
      </c>
      <c r="J22" s="797"/>
      <c r="K22" s="797"/>
      <c r="L22" s="800">
        <f>Detail!AO32+Detail!AP32+Detail!AQ32+Detail!AR32</f>
        <v>0</v>
      </c>
      <c r="M22" s="801"/>
      <c r="N22" s="320"/>
    </row>
    <row r="23" spans="2:21" s="88" customFormat="1" ht="17.25" customHeight="1">
      <c r="B23" s="320"/>
      <c r="C23" s="796" t="s">
        <v>224</v>
      </c>
      <c r="D23" s="797"/>
      <c r="E23" s="348"/>
      <c r="F23" s="798">
        <f>Detail!R32</f>
        <v>41244</v>
      </c>
      <c r="G23" s="799"/>
      <c r="H23" s="359"/>
      <c r="I23" s="796" t="s">
        <v>228</v>
      </c>
      <c r="J23" s="797"/>
      <c r="K23" s="797"/>
      <c r="L23" s="800">
        <f>Detail!BG32</f>
        <v>375000</v>
      </c>
      <c r="M23" s="801"/>
      <c r="N23" s="320"/>
    </row>
    <row r="24" spans="2:21" s="88" customFormat="1" ht="17.25" customHeight="1" thickBot="1">
      <c r="B24" s="320"/>
      <c r="C24" s="778" t="s">
        <v>225</v>
      </c>
      <c r="D24" s="779"/>
      <c r="E24" s="513"/>
      <c r="F24" s="780">
        <f>Detail!S32</f>
        <v>41974</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row>
    <row r="29" spans="2:21" s="88" customFormat="1" ht="27.75" customHeight="1">
      <c r="B29" s="320"/>
      <c r="C29" s="784"/>
      <c r="D29" s="785"/>
      <c r="E29" s="785"/>
      <c r="F29" s="785"/>
      <c r="G29" s="785"/>
      <c r="H29" s="785"/>
      <c r="I29" s="785"/>
      <c r="J29" s="785"/>
      <c r="K29" s="785"/>
      <c r="L29" s="785"/>
      <c r="M29" s="786"/>
      <c r="N29" s="320"/>
      <c r="P29" s="593" t="s">
        <v>747</v>
      </c>
    </row>
    <row r="30" spans="2:21" s="88" customFormat="1" ht="27.75" customHeight="1">
      <c r="B30" s="320"/>
      <c r="C30" s="784"/>
      <c r="D30" s="785"/>
      <c r="E30" s="785"/>
      <c r="F30" s="785"/>
      <c r="G30" s="785"/>
      <c r="H30" s="785"/>
      <c r="I30" s="785"/>
      <c r="J30" s="785"/>
      <c r="K30" s="785"/>
      <c r="L30" s="785"/>
      <c r="M30" s="786"/>
      <c r="N30" s="320"/>
      <c r="P30" s="593" t="s">
        <v>748</v>
      </c>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Sterling Park</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c r="B38" s="322"/>
      <c r="C38" s="792" t="s">
        <v>514</v>
      </c>
      <c r="D38" s="793"/>
      <c r="E38" s="344"/>
      <c r="F38" s="368" t="str">
        <f>I92</f>
        <v>TBD</v>
      </c>
      <c r="G38" s="368" t="str">
        <f>J92</f>
        <v>TBD</v>
      </c>
      <c r="H38" s="794"/>
      <c r="I38" s="794"/>
      <c r="J38" s="794"/>
      <c r="K38" s="794"/>
      <c r="L38" s="794"/>
      <c r="M38" s="795"/>
      <c r="N38" s="322"/>
    </row>
    <row r="39" spans="2:19" s="300" customFormat="1" ht="12.75" customHeight="1">
      <c r="B39" s="322"/>
      <c r="C39" s="774" t="s">
        <v>516</v>
      </c>
      <c r="D39" s="775"/>
      <c r="E39" s="514"/>
      <c r="F39" s="368" t="str">
        <f>I94</f>
        <v>TBD</v>
      </c>
      <c r="G39" s="369" t="str">
        <f>J94</f>
        <v>TBD</v>
      </c>
      <c r="H39" s="772"/>
      <c r="I39" s="772"/>
      <c r="J39" s="772"/>
      <c r="K39" s="772"/>
      <c r="L39" s="772"/>
      <c r="M39" s="773"/>
      <c r="N39" s="322"/>
    </row>
    <row r="40" spans="2:19" s="300" customFormat="1">
      <c r="B40" s="322"/>
      <c r="C40" s="774" t="s">
        <v>344</v>
      </c>
      <c r="D40" s="775"/>
      <c r="E40" s="514"/>
      <c r="F40" s="368" t="str">
        <f>I96</f>
        <v>TBD</v>
      </c>
      <c r="G40" s="368" t="str">
        <f>J96</f>
        <v>TBD</v>
      </c>
      <c r="H40" s="772"/>
      <c r="I40" s="772"/>
      <c r="J40" s="772"/>
      <c r="K40" s="772"/>
      <c r="L40" s="772"/>
      <c r="M40" s="773"/>
      <c r="N40" s="322"/>
    </row>
    <row r="41" spans="2:19" s="300" customFormat="1" ht="12.75" customHeight="1">
      <c r="B41" s="322"/>
      <c r="C41" s="774" t="s">
        <v>535</v>
      </c>
      <c r="D41" s="775"/>
      <c r="E41" s="514"/>
      <c r="F41" s="368" t="str">
        <f>'Sterling Park'!I102</f>
        <v>TBD</v>
      </c>
      <c r="G41" s="368" t="str">
        <f>J102</f>
        <v>TBD</v>
      </c>
      <c r="H41" s="772"/>
      <c r="I41" s="772"/>
      <c r="J41" s="772"/>
      <c r="K41" s="772"/>
      <c r="L41" s="772"/>
      <c r="M41" s="773"/>
      <c r="N41" s="322"/>
      <c r="P41" s="358"/>
      <c r="Q41" s="358"/>
      <c r="R41" s="358"/>
      <c r="S41" s="358"/>
    </row>
    <row r="42" spans="2:19" s="300" customFormat="1" ht="25.5" customHeight="1">
      <c r="B42" s="322"/>
      <c r="C42" s="774" t="s">
        <v>536</v>
      </c>
      <c r="D42" s="775"/>
      <c r="E42" s="514"/>
      <c r="F42" s="368" t="str">
        <f>I110</f>
        <v>TBD</v>
      </c>
      <c r="G42" s="368" t="str">
        <f>J110</f>
        <v>TBD</v>
      </c>
      <c r="H42" s="772" t="s">
        <v>613</v>
      </c>
      <c r="I42" s="772"/>
      <c r="J42" s="772"/>
      <c r="K42" s="772"/>
      <c r="L42" s="772"/>
      <c r="M42" s="773"/>
      <c r="N42" s="322"/>
      <c r="P42" s="358"/>
      <c r="Q42" s="358"/>
      <c r="R42" s="358"/>
      <c r="S42" s="358"/>
    </row>
    <row r="43" spans="2:19" s="300" customFormat="1">
      <c r="B43" s="322"/>
      <c r="C43" s="774" t="s">
        <v>517</v>
      </c>
      <c r="D43" s="775"/>
      <c r="E43" s="514"/>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14"/>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14"/>
      <c r="F45" s="368" t="str">
        <f>I200</f>
        <v>TBD</v>
      </c>
      <c r="G45" s="368" t="str">
        <f>J200</f>
        <v>TBD</v>
      </c>
      <c r="H45" s="772"/>
      <c r="I45" s="772"/>
      <c r="J45" s="772"/>
      <c r="K45" s="772"/>
      <c r="L45" s="772"/>
      <c r="M45" s="773"/>
      <c r="N45" s="322"/>
    </row>
    <row r="46" spans="2:19" s="300" customFormat="1">
      <c r="B46" s="322"/>
      <c r="C46" s="774" t="s">
        <v>538</v>
      </c>
      <c r="D46" s="775"/>
      <c r="E46" s="514"/>
      <c r="F46" s="368" t="str">
        <f>I232</f>
        <v>TBD</v>
      </c>
      <c r="G46" s="368" t="str">
        <f>J232</f>
        <v>TBD</v>
      </c>
      <c r="H46" s="772"/>
      <c r="I46" s="772"/>
      <c r="J46" s="772"/>
      <c r="K46" s="772"/>
      <c r="L46" s="772"/>
      <c r="M46" s="773"/>
      <c r="N46" s="322"/>
    </row>
    <row r="47" spans="2:19" s="300" customFormat="1">
      <c r="B47" s="322"/>
      <c r="C47" s="774" t="s">
        <v>55</v>
      </c>
      <c r="D47" s="775"/>
      <c r="E47" s="514"/>
      <c r="F47" s="368">
        <f>I225</f>
        <v>41243</v>
      </c>
      <c r="G47" s="368" t="str">
        <f>J225</f>
        <v>TBD</v>
      </c>
      <c r="H47" s="772"/>
      <c r="I47" s="772"/>
      <c r="J47" s="772"/>
      <c r="K47" s="772"/>
      <c r="L47" s="772"/>
      <c r="M47" s="773"/>
      <c r="N47" s="322"/>
    </row>
    <row r="48" spans="2:19" s="300" customFormat="1">
      <c r="B48" s="322"/>
      <c r="C48" s="774" t="s">
        <v>346</v>
      </c>
      <c r="D48" s="775"/>
      <c r="E48" s="514"/>
      <c r="F48" s="368">
        <f>I235</f>
        <v>41274</v>
      </c>
      <c r="G48" s="368" t="str">
        <f>J235</f>
        <v>TBD</v>
      </c>
      <c r="H48" s="772"/>
      <c r="I48" s="772"/>
      <c r="J48" s="772"/>
      <c r="K48" s="772"/>
      <c r="L48" s="772"/>
      <c r="M48" s="773"/>
      <c r="N48" s="322"/>
    </row>
    <row r="49" spans="2:14" s="300" customFormat="1">
      <c r="B49" s="322"/>
      <c r="C49" s="774" t="s">
        <v>347</v>
      </c>
      <c r="D49" s="775"/>
      <c r="E49" s="514"/>
      <c r="F49" s="368" t="str">
        <f>I237</f>
        <v>TBD</v>
      </c>
      <c r="G49" s="368" t="str">
        <f>J237</f>
        <v>TBD</v>
      </c>
      <c r="H49" s="772"/>
      <c r="I49" s="772"/>
      <c r="J49" s="772"/>
      <c r="K49" s="772"/>
      <c r="L49" s="772"/>
      <c r="M49" s="773"/>
      <c r="N49" s="322"/>
    </row>
    <row r="50" spans="2:14" s="300" customFormat="1">
      <c r="B50" s="322"/>
      <c r="C50" s="774" t="s">
        <v>348</v>
      </c>
      <c r="D50" s="775"/>
      <c r="E50" s="514"/>
      <c r="F50" s="368" t="str">
        <f>I254</f>
        <v>TBD</v>
      </c>
      <c r="G50" s="368" t="str">
        <f>J254</f>
        <v>TBD</v>
      </c>
      <c r="H50" s="772"/>
      <c r="I50" s="772"/>
      <c r="J50" s="772"/>
      <c r="K50" s="772"/>
      <c r="L50" s="772"/>
      <c r="M50" s="773"/>
      <c r="N50" s="322"/>
    </row>
    <row r="51" spans="2:14" s="300" customFormat="1">
      <c r="B51" s="322"/>
      <c r="C51" s="774" t="s">
        <v>65</v>
      </c>
      <c r="D51" s="775"/>
      <c r="E51" s="514"/>
      <c r="F51" s="368" t="str">
        <f>I255</f>
        <v>TBD</v>
      </c>
      <c r="G51" s="368" t="str">
        <f>J255</f>
        <v>TBD</v>
      </c>
      <c r="H51" s="772"/>
      <c r="I51" s="772"/>
      <c r="J51" s="772"/>
      <c r="K51" s="772"/>
      <c r="L51" s="772"/>
      <c r="M51" s="773"/>
      <c r="N51" s="322"/>
    </row>
    <row r="52" spans="2:14" s="300" customFormat="1">
      <c r="B52" s="322"/>
      <c r="C52" s="774" t="s">
        <v>540</v>
      </c>
      <c r="D52" s="775"/>
      <c r="E52" s="514"/>
      <c r="F52" s="368" t="str">
        <f>I273</f>
        <v>TBD</v>
      </c>
      <c r="G52" s="368" t="str">
        <f>J273</f>
        <v>TBD</v>
      </c>
      <c r="H52" s="772"/>
      <c r="I52" s="772"/>
      <c r="J52" s="772"/>
      <c r="K52" s="772"/>
      <c r="L52" s="772"/>
      <c r="M52" s="773"/>
      <c r="N52" s="322"/>
    </row>
    <row r="53" spans="2:14" s="300" customFormat="1">
      <c r="B53" s="322"/>
      <c r="C53" s="774" t="s">
        <v>542</v>
      </c>
      <c r="D53" s="775"/>
      <c r="E53" s="514"/>
      <c r="F53" s="368" t="str">
        <f>I276</f>
        <v>TBD</v>
      </c>
      <c r="G53" s="368" t="str">
        <f>J276</f>
        <v>TBD</v>
      </c>
      <c r="H53" s="772"/>
      <c r="I53" s="772"/>
      <c r="J53" s="772"/>
      <c r="K53" s="772"/>
      <c r="L53" s="772"/>
      <c r="M53" s="773"/>
      <c r="N53" s="322"/>
    </row>
    <row r="54" spans="2:14" s="300" customFormat="1">
      <c r="B54" s="322"/>
      <c r="C54" s="774">
        <v>8609</v>
      </c>
      <c r="D54" s="775"/>
      <c r="E54" s="514"/>
      <c r="F54" s="368" t="str">
        <f>I289</f>
        <v>TBD</v>
      </c>
      <c r="G54" s="368" t="str">
        <f>J289</f>
        <v>TBD</v>
      </c>
      <c r="H54" s="772"/>
      <c r="I54" s="772"/>
      <c r="J54" s="772"/>
      <c r="K54" s="772"/>
      <c r="L54" s="772"/>
      <c r="M54" s="773"/>
      <c r="N54" s="322"/>
    </row>
    <row r="55" spans="2:14" s="300" customForma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515"/>
      <c r="F56" s="338"/>
      <c r="G56" s="338"/>
      <c r="H56" s="772"/>
      <c r="I56" s="772"/>
      <c r="J56" s="772"/>
      <c r="K56" s="772"/>
      <c r="L56" s="772"/>
      <c r="M56" s="773"/>
      <c r="N56" s="322"/>
    </row>
    <row r="57" spans="2:14" s="300" customFormat="1" ht="14">
      <c r="B57" s="322"/>
      <c r="C57" s="770" t="s">
        <v>522</v>
      </c>
      <c r="D57" s="771"/>
      <c r="E57" s="515"/>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Sterling Park</v>
      </c>
      <c r="J63" s="769"/>
      <c r="K63" s="17"/>
      <c r="L63" s="17"/>
      <c r="M63" s="8"/>
      <c r="N63" s="17"/>
    </row>
    <row r="64" spans="2:14" ht="16" thickBot="1">
      <c r="C64" s="308" t="s">
        <v>351</v>
      </c>
      <c r="D64" s="308"/>
      <c r="E64" s="308"/>
      <c r="F64" s="308"/>
      <c r="H64" s="363"/>
      <c r="I64" s="768" t="str">
        <f>F7</f>
        <v>Chicago</v>
      </c>
      <c r="J64" s="769"/>
      <c r="K64" s="17"/>
      <c r="L64" s="17"/>
      <c r="M64" s="8"/>
      <c r="N64" s="17"/>
    </row>
    <row r="65" spans="2:15" ht="16" thickBot="1">
      <c r="C65" s="308" t="s">
        <v>352</v>
      </c>
      <c r="D65" s="308"/>
      <c r="E65" s="308"/>
      <c r="F65" s="308"/>
      <c r="H65" s="363"/>
      <c r="I65" s="768" t="str">
        <f>C3</f>
        <v>M Angelini</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t="s">
        <v>14</v>
      </c>
      <c r="J70" s="332" t="s">
        <v>14</v>
      </c>
    </row>
    <row r="71" spans="2:15">
      <c r="C71" s="2" t="s">
        <v>356</v>
      </c>
      <c r="D71" s="2"/>
      <c r="E71" s="2"/>
      <c r="F71" s="2"/>
      <c r="G71" s="2"/>
      <c r="H71" s="2"/>
      <c r="I71" s="332" t="s">
        <v>14</v>
      </c>
      <c r="J71" s="332" t="s">
        <v>14</v>
      </c>
    </row>
    <row r="72" spans="2:15">
      <c r="C72" s="2" t="s">
        <v>357</v>
      </c>
      <c r="D72" s="2"/>
      <c r="E72" s="2"/>
      <c r="F72" s="2"/>
      <c r="G72" s="2"/>
      <c r="H72" s="2"/>
      <c r="I72" s="332" t="s">
        <v>14</v>
      </c>
      <c r="J72" s="332" t="s">
        <v>14</v>
      </c>
    </row>
    <row r="73" spans="2:15">
      <c r="C73" s="2" t="s">
        <v>358</v>
      </c>
      <c r="D73" s="2"/>
      <c r="E73" s="2"/>
      <c r="F73" s="2"/>
      <c r="G73" s="2"/>
      <c r="H73" s="2"/>
      <c r="I73" s="332" t="s">
        <v>14</v>
      </c>
      <c r="J73" s="332" t="s">
        <v>14</v>
      </c>
    </row>
    <row r="74" spans="2:15">
      <c r="C74" s="312" t="s">
        <v>359</v>
      </c>
      <c r="D74" s="312"/>
      <c r="E74" s="312"/>
      <c r="F74" s="312"/>
      <c r="G74" s="312"/>
      <c r="H74" s="312"/>
      <c r="I74" s="332" t="s">
        <v>14</v>
      </c>
      <c r="J74" s="332" t="s">
        <v>14</v>
      </c>
    </row>
    <row r="75" spans="2:15">
      <c r="C75" s="2" t="s">
        <v>360</v>
      </c>
      <c r="D75" s="2"/>
      <c r="E75" s="2"/>
      <c r="F75" s="312"/>
      <c r="G75" s="312"/>
      <c r="H75" s="312"/>
      <c r="I75" s="332" t="s">
        <v>14</v>
      </c>
      <c r="J75" s="332" t="s">
        <v>14</v>
      </c>
    </row>
    <row r="76" spans="2:15">
      <c r="C76" s="2" t="s">
        <v>361</v>
      </c>
      <c r="D76" s="2"/>
      <c r="E76" s="2"/>
      <c r="F76" s="312"/>
      <c r="G76" s="312"/>
      <c r="H76" s="312"/>
      <c r="I76" s="332" t="s">
        <v>14</v>
      </c>
      <c r="J76" s="332" t="s">
        <v>14</v>
      </c>
    </row>
    <row r="77" spans="2:15">
      <c r="C77" s="2" t="s">
        <v>362</v>
      </c>
      <c r="D77" s="2"/>
      <c r="E77" s="2"/>
      <c r="F77" s="312"/>
      <c r="G77" s="312"/>
      <c r="H77" s="312"/>
      <c r="I77" s="534"/>
      <c r="J77" s="534"/>
    </row>
    <row r="78" spans="2:15">
      <c r="C78" s="312" t="s">
        <v>363</v>
      </c>
      <c r="D78" s="312"/>
      <c r="E78" s="312"/>
      <c r="F78" s="312"/>
      <c r="G78" s="312"/>
      <c r="H78" s="312"/>
      <c r="I78" s="332" t="s">
        <v>14</v>
      </c>
      <c r="J78" s="332" t="s">
        <v>14</v>
      </c>
    </row>
    <row r="79" spans="2:15">
      <c r="C79" s="312" t="s">
        <v>364</v>
      </c>
      <c r="D79" s="312"/>
      <c r="E79" s="312"/>
      <c r="F79" s="312"/>
      <c r="G79" s="312"/>
      <c r="H79" s="312"/>
      <c r="I79" s="332" t="s">
        <v>14</v>
      </c>
      <c r="J79" s="332" t="s">
        <v>14</v>
      </c>
    </row>
    <row r="80" spans="2:15">
      <c r="C80" s="312" t="s">
        <v>365</v>
      </c>
      <c r="D80" s="312"/>
      <c r="E80" s="312"/>
      <c r="F80" s="312"/>
      <c r="G80" s="312"/>
      <c r="H80" s="312"/>
      <c r="I80" s="332" t="s">
        <v>14</v>
      </c>
      <c r="J80" s="332" t="s">
        <v>14</v>
      </c>
    </row>
    <row r="81" spans="2:10">
      <c r="C81" s="315" t="s">
        <v>366</v>
      </c>
      <c r="D81" s="315"/>
      <c r="E81" s="315"/>
      <c r="F81" s="314"/>
      <c r="G81" s="314"/>
      <c r="H81" s="314"/>
      <c r="I81" s="332" t="s">
        <v>14</v>
      </c>
      <c r="J81" s="332" t="s">
        <v>14</v>
      </c>
    </row>
    <row r="82" spans="2:10">
      <c r="C82" s="2" t="s">
        <v>367</v>
      </c>
      <c r="D82" s="2"/>
      <c r="E82" s="2"/>
      <c r="F82" s="312"/>
      <c r="G82" s="312"/>
      <c r="H82" s="312"/>
      <c r="I82" s="534"/>
      <c r="J82" s="534"/>
    </row>
    <row r="83" spans="2:10">
      <c r="C83" s="312" t="s">
        <v>368</v>
      </c>
      <c r="D83" s="312"/>
      <c r="E83" s="312"/>
      <c r="F83" s="312"/>
      <c r="G83" s="312"/>
      <c r="H83" s="312"/>
      <c r="I83" s="332" t="s">
        <v>14</v>
      </c>
      <c r="J83" s="332" t="s">
        <v>14</v>
      </c>
    </row>
    <row r="84" spans="2:10">
      <c r="C84" s="312" t="s">
        <v>369</v>
      </c>
      <c r="D84" s="312"/>
      <c r="E84" s="312"/>
      <c r="F84" s="312"/>
      <c r="G84" s="312"/>
      <c r="H84" s="312"/>
      <c r="I84" s="332" t="s">
        <v>14</v>
      </c>
      <c r="J84" s="332" t="s">
        <v>14</v>
      </c>
    </row>
    <row r="85" spans="2:10">
      <c r="C85" s="312" t="s">
        <v>370</v>
      </c>
      <c r="D85" s="312"/>
      <c r="E85" s="312"/>
      <c r="F85" s="312"/>
      <c r="G85" s="312"/>
      <c r="H85" s="312"/>
      <c r="I85" s="332" t="s">
        <v>14</v>
      </c>
      <c r="J85" s="332" t="s">
        <v>14</v>
      </c>
    </row>
    <row r="86" spans="2:10">
      <c r="C86" s="2" t="s">
        <v>371</v>
      </c>
      <c r="D86" s="2"/>
      <c r="E86" s="2"/>
      <c r="F86" s="312"/>
      <c r="G86" s="312"/>
      <c r="H86" s="312"/>
      <c r="I86" s="332" t="s">
        <v>14</v>
      </c>
      <c r="J86" s="332" t="s">
        <v>14</v>
      </c>
    </row>
    <row r="87" spans="2:10">
      <c r="C87" s="2" t="s">
        <v>372</v>
      </c>
      <c r="D87" s="2"/>
      <c r="E87" s="2"/>
      <c r="F87" s="312"/>
      <c r="G87" s="312"/>
      <c r="H87" s="312"/>
      <c r="I87" s="332" t="s">
        <v>14</v>
      </c>
      <c r="J87" s="332" t="s">
        <v>14</v>
      </c>
    </row>
    <row r="88" spans="2:10">
      <c r="C88" s="2" t="s">
        <v>373</v>
      </c>
      <c r="D88" s="2"/>
      <c r="E88" s="2"/>
      <c r="F88" s="312"/>
      <c r="G88" s="312"/>
      <c r="H88" s="312"/>
      <c r="I88" s="332" t="s">
        <v>14</v>
      </c>
      <c r="J88" s="332" t="s">
        <v>14</v>
      </c>
    </row>
    <row r="89" spans="2:10">
      <c r="C89" s="2" t="s">
        <v>374</v>
      </c>
      <c r="D89" s="2"/>
      <c r="E89" s="2"/>
      <c r="F89" s="312"/>
      <c r="G89" s="312"/>
      <c r="H89" s="312"/>
      <c r="I89" s="332" t="s">
        <v>14</v>
      </c>
      <c r="J89" s="332" t="s">
        <v>14</v>
      </c>
    </row>
    <row r="90" spans="2:10">
      <c r="C90" s="2" t="s">
        <v>375</v>
      </c>
      <c r="D90" s="2"/>
      <c r="E90" s="2"/>
      <c r="F90" s="312"/>
      <c r="G90" s="312"/>
      <c r="H90" s="312"/>
      <c r="I90" s="332" t="s">
        <v>14</v>
      </c>
      <c r="J90" s="332" t="s">
        <v>14</v>
      </c>
    </row>
    <row r="91" spans="2:10">
      <c r="C91" s="2" t="s">
        <v>376</v>
      </c>
      <c r="D91" s="2"/>
      <c r="E91" s="2"/>
      <c r="F91" s="312"/>
      <c r="G91" s="312"/>
      <c r="H91" s="312"/>
      <c r="I91" s="332" t="s">
        <v>14</v>
      </c>
      <c r="J91" s="332" t="s">
        <v>14</v>
      </c>
    </row>
    <row r="92" spans="2:10">
      <c r="C92" s="308" t="s">
        <v>377</v>
      </c>
      <c r="D92" s="308"/>
      <c r="E92" s="308"/>
      <c r="F92" s="312"/>
      <c r="G92" s="312"/>
      <c r="H92" s="312"/>
      <c r="I92" s="364" t="s">
        <v>14</v>
      </c>
      <c r="J92" s="364" t="s">
        <v>14</v>
      </c>
    </row>
    <row r="93" spans="2:10">
      <c r="C93" s="2"/>
      <c r="D93" s="2"/>
      <c r="E93" s="2"/>
      <c r="F93" s="312"/>
      <c r="G93" s="312"/>
      <c r="H93" s="312"/>
      <c r="I93" s="331"/>
      <c r="J93" s="331"/>
    </row>
    <row r="94" spans="2:10">
      <c r="B94" s="309" t="s">
        <v>378</v>
      </c>
      <c r="C94" s="308"/>
      <c r="D94" s="308"/>
      <c r="E94" s="308"/>
      <c r="F94" s="313"/>
      <c r="G94" s="313"/>
      <c r="H94" s="313"/>
      <c r="I94" s="364" t="s">
        <v>14</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14</v>
      </c>
      <c r="J99" s="332" t="s">
        <v>14</v>
      </c>
    </row>
    <row r="100" spans="2:10">
      <c r="C100" s="2" t="s">
        <v>381</v>
      </c>
      <c r="D100" s="2"/>
      <c r="E100" s="2"/>
      <c r="F100" s="312"/>
      <c r="G100" s="312"/>
      <c r="H100" s="312"/>
      <c r="I100" s="332" t="s">
        <v>14</v>
      </c>
      <c r="J100" s="332" t="s">
        <v>14</v>
      </c>
    </row>
    <row r="101" spans="2:10">
      <c r="C101" s="2" t="s">
        <v>382</v>
      </c>
      <c r="D101" s="2"/>
      <c r="E101" s="2"/>
      <c r="F101" s="312"/>
      <c r="G101" s="312"/>
      <c r="H101" s="312"/>
      <c r="I101" s="332" t="s">
        <v>14</v>
      </c>
      <c r="J101" s="332" t="s">
        <v>14</v>
      </c>
    </row>
    <row r="102" spans="2:10">
      <c r="C102" s="308" t="s">
        <v>534</v>
      </c>
      <c r="D102" s="2"/>
      <c r="E102" s="2"/>
      <c r="F102" s="312"/>
      <c r="G102" s="312"/>
      <c r="H102" s="312"/>
      <c r="I102" s="364" t="s">
        <v>14</v>
      </c>
      <c r="J102" s="364" t="s">
        <v>14</v>
      </c>
    </row>
    <row r="103" spans="2:10">
      <c r="C103" s="2" t="s">
        <v>524</v>
      </c>
      <c r="D103" s="2"/>
      <c r="E103" s="2"/>
      <c r="F103" s="312"/>
      <c r="G103" s="312"/>
      <c r="H103" s="312"/>
      <c r="I103" s="332" t="s">
        <v>14</v>
      </c>
      <c r="J103" s="332" t="s">
        <v>14</v>
      </c>
    </row>
    <row r="104" spans="2:10">
      <c r="C104" s="2" t="s">
        <v>383</v>
      </c>
      <c r="D104" s="2"/>
      <c r="E104" s="2"/>
      <c r="F104" s="312"/>
      <c r="G104" s="312"/>
      <c r="H104" s="312"/>
      <c r="I104" s="332" t="s">
        <v>14</v>
      </c>
      <c r="J104" s="332" t="s">
        <v>14</v>
      </c>
    </row>
    <row r="105" spans="2:10">
      <c r="C105" s="2" t="s">
        <v>384</v>
      </c>
      <c r="D105" s="2"/>
      <c r="E105" s="2"/>
      <c r="F105" s="312"/>
      <c r="G105" s="312"/>
      <c r="H105" s="312"/>
      <c r="I105" s="332" t="s">
        <v>14</v>
      </c>
      <c r="J105" s="332" t="s">
        <v>14</v>
      </c>
    </row>
    <row r="106" spans="2:10">
      <c r="C106" s="2" t="s">
        <v>544</v>
      </c>
      <c r="D106" s="2"/>
      <c r="E106" s="2"/>
      <c r="F106" s="312"/>
      <c r="G106" s="312"/>
      <c r="H106" s="312"/>
      <c r="I106" s="332">
        <v>41151</v>
      </c>
      <c r="J106" s="332" t="s">
        <v>14</v>
      </c>
    </row>
    <row r="107" spans="2:10">
      <c r="C107" s="2" t="s">
        <v>385</v>
      </c>
      <c r="D107" s="2"/>
      <c r="E107" s="2"/>
      <c r="F107" s="312"/>
      <c r="G107" s="312"/>
      <c r="H107" s="312"/>
      <c r="I107" s="332" t="s">
        <v>14</v>
      </c>
      <c r="J107" s="332" t="s">
        <v>14</v>
      </c>
    </row>
    <row r="108" spans="2:10">
      <c r="C108" s="2" t="s">
        <v>386</v>
      </c>
      <c r="D108" s="2"/>
      <c r="E108" s="2"/>
      <c r="F108" s="312"/>
      <c r="G108" s="312"/>
      <c r="H108" s="312"/>
      <c r="I108" s="332" t="s">
        <v>14</v>
      </c>
      <c r="J108" s="332" t="s">
        <v>14</v>
      </c>
    </row>
    <row r="109" spans="2:10">
      <c r="C109" s="2" t="s">
        <v>523</v>
      </c>
      <c r="D109" s="2"/>
      <c r="E109" s="2"/>
      <c r="F109" s="312"/>
      <c r="G109" s="312"/>
      <c r="H109" s="312"/>
      <c r="I109" s="332" t="s">
        <v>14</v>
      </c>
      <c r="J109" s="332" t="s">
        <v>14</v>
      </c>
    </row>
    <row r="110" spans="2:10">
      <c r="C110" s="308" t="s">
        <v>526</v>
      </c>
      <c r="D110" s="2"/>
      <c r="E110" s="2"/>
      <c r="F110" s="312"/>
      <c r="G110" s="312"/>
      <c r="H110" s="312"/>
      <c r="I110" s="364" t="s">
        <v>14</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t="s">
        <v>14</v>
      </c>
      <c r="J115" s="332" t="s">
        <v>14</v>
      </c>
    </row>
    <row r="116" spans="3:10">
      <c r="C116" s="315" t="s">
        <v>342</v>
      </c>
      <c r="D116" s="315"/>
      <c r="E116" s="315"/>
      <c r="F116" s="315"/>
      <c r="G116" s="315"/>
      <c r="H116" s="315"/>
      <c r="I116" s="332" t="s">
        <v>14</v>
      </c>
      <c r="J116" s="332" t="s">
        <v>14</v>
      </c>
    </row>
    <row r="117" spans="3:10">
      <c r="C117" s="315" t="s">
        <v>390</v>
      </c>
      <c r="D117" s="315"/>
      <c r="E117" s="315"/>
      <c r="F117" s="315"/>
      <c r="G117" s="315"/>
      <c r="H117" s="315"/>
      <c r="I117" s="332" t="s">
        <v>14</v>
      </c>
      <c r="J117" s="332" t="s">
        <v>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t="s">
        <v>14</v>
      </c>
      <c r="J120" s="332" t="s">
        <v>14</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534"/>
      <c r="J123" s="534"/>
    </row>
    <row r="124" spans="3:10">
      <c r="C124" s="315" t="s">
        <v>392</v>
      </c>
      <c r="D124" s="315"/>
      <c r="E124" s="315"/>
      <c r="F124" s="315"/>
      <c r="G124" s="315"/>
      <c r="H124" s="315"/>
      <c r="I124" s="332" t="s">
        <v>14</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534"/>
      <c r="J128" s="534"/>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t="s">
        <v>14</v>
      </c>
      <c r="J134" s="332" t="s">
        <v>14</v>
      </c>
    </row>
    <row r="135" spans="2:10">
      <c r="C135" s="2" t="s">
        <v>398</v>
      </c>
      <c r="D135" s="2"/>
      <c r="E135" s="2"/>
      <c r="F135" s="312"/>
      <c r="G135" s="312"/>
      <c r="H135" s="312"/>
      <c r="I135" s="332" t="s">
        <v>14</v>
      </c>
      <c r="J135" s="332" t="s">
        <v>14</v>
      </c>
    </row>
    <row r="136" spans="2:10">
      <c r="C136" s="2" t="s">
        <v>399</v>
      </c>
      <c r="D136" s="2"/>
      <c r="E136" s="2"/>
      <c r="F136" s="312"/>
      <c r="G136" s="312"/>
      <c r="H136" s="312"/>
      <c r="I136" s="332" t="s">
        <v>14</v>
      </c>
      <c r="J136" s="332" t="s">
        <v>14</v>
      </c>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332" t="s">
        <v>14</v>
      </c>
      <c r="J139" s="332" t="s">
        <v>14</v>
      </c>
    </row>
    <row r="140" spans="2:10">
      <c r="C140" s="2" t="s">
        <v>402</v>
      </c>
      <c r="D140" s="2"/>
      <c r="E140" s="2"/>
      <c r="F140" s="312"/>
      <c r="G140" s="312"/>
      <c r="H140" s="312"/>
      <c r="I140" s="332" t="s">
        <v>14</v>
      </c>
      <c r="J140" s="332" t="s">
        <v>14</v>
      </c>
    </row>
    <row r="141" spans="2:10">
      <c r="C141" s="312" t="s">
        <v>403</v>
      </c>
      <c r="D141" s="312"/>
      <c r="E141" s="312"/>
      <c r="F141" s="312"/>
      <c r="G141" s="312"/>
      <c r="H141" s="312"/>
      <c r="I141" s="332" t="s">
        <v>14</v>
      </c>
      <c r="J141" s="332" t="s">
        <v>14</v>
      </c>
    </row>
    <row r="142" spans="2:10">
      <c r="C142" s="312" t="s">
        <v>404</v>
      </c>
      <c r="D142" s="312"/>
      <c r="E142" s="312"/>
      <c r="F142" s="312"/>
      <c r="G142" s="312"/>
      <c r="H142" s="312"/>
      <c r="I142" s="332" t="s">
        <v>14</v>
      </c>
      <c r="J142" s="332" t="s">
        <v>14</v>
      </c>
    </row>
    <row r="143" spans="2:10">
      <c r="C143" s="312" t="s">
        <v>405</v>
      </c>
      <c r="D143" s="312"/>
      <c r="E143" s="312"/>
      <c r="F143" s="312"/>
      <c r="G143" s="312"/>
      <c r="H143" s="312"/>
      <c r="I143" s="332" t="s">
        <v>14</v>
      </c>
      <c r="J143" s="332" t="s">
        <v>14</v>
      </c>
    </row>
    <row r="144" spans="2:10">
      <c r="C144" s="2" t="s">
        <v>406</v>
      </c>
      <c r="D144" s="2"/>
      <c r="E144" s="2"/>
      <c r="F144" s="312"/>
      <c r="G144" s="312"/>
      <c r="H144" s="312"/>
      <c r="I144" s="332" t="s">
        <v>14</v>
      </c>
      <c r="J144" s="332" t="s">
        <v>14</v>
      </c>
    </row>
    <row r="145" spans="3:10">
      <c r="C145" s="2" t="s">
        <v>407</v>
      </c>
      <c r="D145" s="2"/>
      <c r="E145" s="2"/>
      <c r="F145" s="312"/>
      <c r="G145" s="312"/>
      <c r="H145" s="312"/>
      <c r="I145" s="332" t="s">
        <v>14</v>
      </c>
      <c r="J145" s="332" t="s">
        <v>14</v>
      </c>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2" t="s">
        <v>14</v>
      </c>
      <c r="J148" s="332" t="s">
        <v>14</v>
      </c>
    </row>
    <row r="149" spans="3:10">
      <c r="C149" s="312" t="s">
        <v>411</v>
      </c>
      <c r="D149" s="312"/>
      <c r="E149" s="312"/>
      <c r="F149" s="312"/>
      <c r="G149" s="312"/>
      <c r="H149" s="312"/>
      <c r="I149" s="332" t="s">
        <v>14</v>
      </c>
      <c r="J149" s="332" t="s">
        <v>14</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2" t="s">
        <v>14</v>
      </c>
      <c r="J154" s="332" t="s">
        <v>14</v>
      </c>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2" t="s">
        <v>14</v>
      </c>
      <c r="J156" s="332" t="s">
        <v>14</v>
      </c>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2" t="s">
        <v>14</v>
      </c>
      <c r="J162" s="332" t="s">
        <v>14</v>
      </c>
    </row>
    <row r="163" spans="3:10">
      <c r="C163" s="312" t="s">
        <v>425</v>
      </c>
      <c r="D163" s="312"/>
      <c r="E163" s="312"/>
      <c r="F163" s="312"/>
      <c r="G163" s="312"/>
      <c r="H163" s="312"/>
      <c r="I163" s="332" t="s">
        <v>14</v>
      </c>
      <c r="J163" s="332" t="s">
        <v>14</v>
      </c>
    </row>
    <row r="164" spans="3:10">
      <c r="C164" s="312" t="s">
        <v>426</v>
      </c>
      <c r="D164" s="312"/>
      <c r="E164" s="312"/>
      <c r="F164" s="312"/>
      <c r="G164" s="312"/>
      <c r="H164" s="312"/>
      <c r="I164" s="332" t="s">
        <v>14</v>
      </c>
      <c r="J164" s="332" t="s">
        <v>14</v>
      </c>
    </row>
    <row r="165" spans="3:10">
      <c r="C165" s="315" t="s">
        <v>427</v>
      </c>
      <c r="D165" s="315"/>
      <c r="E165" s="315"/>
      <c r="F165" s="315"/>
      <c r="G165" s="315"/>
      <c r="H165" s="315"/>
      <c r="I165" s="332" t="s">
        <v>14</v>
      </c>
      <c r="J165" s="332" t="s">
        <v>14</v>
      </c>
    </row>
    <row r="166" spans="3:10">
      <c r="C166" s="315" t="s">
        <v>428</v>
      </c>
      <c r="D166" s="315"/>
      <c r="E166" s="315"/>
      <c r="F166" s="315"/>
      <c r="G166" s="315"/>
      <c r="H166" s="315"/>
      <c r="I166" s="332" t="s">
        <v>14</v>
      </c>
      <c r="J166" s="332" t="s">
        <v>14</v>
      </c>
    </row>
    <row r="167" spans="3:10">
      <c r="C167" s="312" t="s">
        <v>429</v>
      </c>
      <c r="D167" s="312"/>
      <c r="E167" s="312"/>
      <c r="F167" s="312"/>
      <c r="G167" s="312"/>
      <c r="H167" s="312"/>
      <c r="I167" s="332" t="s">
        <v>14</v>
      </c>
      <c r="J167" s="332" t="s">
        <v>14</v>
      </c>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2" t="s">
        <v>14</v>
      </c>
      <c r="J170" s="332" t="s">
        <v>14</v>
      </c>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2" t="s">
        <v>14</v>
      </c>
      <c r="J173" s="332" t="s">
        <v>14</v>
      </c>
    </row>
    <row r="174" spans="3:10">
      <c r="C174" s="315" t="s">
        <v>432</v>
      </c>
      <c r="D174" s="315"/>
      <c r="E174" s="315"/>
      <c r="F174" s="315"/>
      <c r="G174" s="315"/>
      <c r="H174" s="315"/>
      <c r="I174" s="332" t="s">
        <v>14</v>
      </c>
      <c r="J174" s="332" t="s">
        <v>14</v>
      </c>
    </row>
    <row r="175" spans="3:10">
      <c r="C175" s="315" t="s">
        <v>433</v>
      </c>
      <c r="D175" s="315"/>
      <c r="E175" s="315"/>
      <c r="F175" s="315"/>
      <c r="G175" s="315"/>
      <c r="H175" s="315"/>
      <c r="I175" s="332" t="s">
        <v>14</v>
      </c>
      <c r="J175" s="332" t="s">
        <v>14</v>
      </c>
    </row>
    <row r="176" spans="3:10">
      <c r="C176" s="315" t="s">
        <v>434</v>
      </c>
      <c r="D176" s="315"/>
      <c r="E176" s="315"/>
      <c r="F176" s="315"/>
      <c r="G176" s="315"/>
      <c r="H176" s="315"/>
      <c r="I176" s="332" t="s">
        <v>14</v>
      </c>
      <c r="J176" s="332" t="s">
        <v>14</v>
      </c>
    </row>
    <row r="177" spans="3:10">
      <c r="C177" s="315" t="s">
        <v>435</v>
      </c>
      <c r="D177" s="315"/>
      <c r="E177" s="315"/>
      <c r="F177" s="315"/>
      <c r="G177" s="315"/>
      <c r="H177" s="315"/>
      <c r="I177" s="332" t="s">
        <v>14</v>
      </c>
      <c r="J177" s="332" t="s">
        <v>14</v>
      </c>
    </row>
    <row r="178" spans="3:10">
      <c r="C178" s="310" t="s">
        <v>422</v>
      </c>
      <c r="D178" s="310"/>
      <c r="E178" s="310"/>
      <c r="F178" s="312"/>
      <c r="G178" s="312"/>
      <c r="H178" s="312"/>
      <c r="I178" s="332" t="s">
        <v>14</v>
      </c>
      <c r="J178" s="332" t="s">
        <v>14</v>
      </c>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2" t="s">
        <v>14</v>
      </c>
      <c r="J187" s="332" t="s">
        <v>14</v>
      </c>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2" t="s">
        <v>14</v>
      </c>
      <c r="J193" s="332" t="s">
        <v>14</v>
      </c>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2" t="s">
        <v>14</v>
      </c>
      <c r="J210" s="332" t="s">
        <v>14</v>
      </c>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v>41243</v>
      </c>
      <c r="J225" s="364" t="s">
        <v>14</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332" t="s">
        <v>14</v>
      </c>
    </row>
    <row r="231" spans="2:10">
      <c r="C231" s="312" t="s">
        <v>477</v>
      </c>
      <c r="D231" s="312"/>
      <c r="E231" s="312"/>
      <c r="F231" s="312"/>
      <c r="G231" s="312"/>
      <c r="H231" s="312"/>
      <c r="I231" s="332" t="s">
        <v>14</v>
      </c>
      <c r="J231" s="332" t="s">
        <v>14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v>41274</v>
      </c>
      <c r="J235" s="364" t="s">
        <v>14</v>
      </c>
    </row>
    <row r="236" spans="2:10">
      <c r="C236" s="308" t="s">
        <v>480</v>
      </c>
      <c r="D236" s="2"/>
      <c r="E236" s="2"/>
      <c r="F236" s="312"/>
      <c r="G236" s="312"/>
      <c r="H236" s="312"/>
      <c r="I236" s="332" t="s">
        <v>14</v>
      </c>
      <c r="J236" s="332" t="s">
        <v>14</v>
      </c>
    </row>
    <row r="237" spans="2:10">
      <c r="C237" s="2" t="s">
        <v>481</v>
      </c>
      <c r="D237" s="2"/>
      <c r="E237" s="2"/>
      <c r="F237" s="312"/>
      <c r="G237" s="312"/>
      <c r="H237" s="312"/>
      <c r="I237" s="364" t="s">
        <v>14</v>
      </c>
      <c r="J237" s="364" t="s">
        <v>14</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14</v>
      </c>
      <c r="J253" s="332" t="s">
        <v>14</v>
      </c>
    </row>
    <row r="254" spans="2:10">
      <c r="C254" s="308" t="s">
        <v>539</v>
      </c>
      <c r="D254" s="2"/>
      <c r="E254" s="2"/>
      <c r="F254" s="312"/>
      <c r="G254" s="312"/>
      <c r="H254" s="312"/>
      <c r="I254" s="364" t="s">
        <v>14</v>
      </c>
      <c r="J254" s="364" t="s">
        <v>14</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14</v>
      </c>
      <c r="J267" s="332" t="s">
        <v>14</v>
      </c>
    </row>
    <row r="268" spans="2:10">
      <c r="C268" s="312" t="s">
        <v>495</v>
      </c>
      <c r="D268" s="312"/>
      <c r="E268" s="312"/>
      <c r="F268" s="312"/>
      <c r="G268" s="312"/>
      <c r="H268" s="312"/>
      <c r="I268" s="332" t="s">
        <v>14</v>
      </c>
      <c r="J268" s="332" t="s">
        <v>14</v>
      </c>
    </row>
    <row r="269" spans="2:10">
      <c r="C269" s="312" t="s">
        <v>496</v>
      </c>
      <c r="D269" s="312"/>
      <c r="E269" s="312"/>
      <c r="F269" s="312"/>
      <c r="G269" s="312"/>
      <c r="H269" s="312"/>
      <c r="I269" s="332" t="s">
        <v>14</v>
      </c>
      <c r="J269" s="332" t="s">
        <v>14</v>
      </c>
    </row>
    <row r="270" spans="2:10">
      <c r="C270" s="312" t="s">
        <v>497</v>
      </c>
      <c r="D270" s="312"/>
      <c r="E270" s="312"/>
      <c r="F270" s="312"/>
      <c r="G270" s="312"/>
      <c r="H270" s="312"/>
      <c r="I270" s="332" t="s">
        <v>14</v>
      </c>
      <c r="J270" s="332" t="s">
        <v>14</v>
      </c>
    </row>
    <row r="271" spans="2:10">
      <c r="C271" s="312" t="s">
        <v>498</v>
      </c>
      <c r="D271" s="312"/>
      <c r="E271" s="312"/>
      <c r="F271" s="312"/>
      <c r="G271" s="312"/>
      <c r="H271" s="312"/>
      <c r="I271" s="332" t="s">
        <v>14</v>
      </c>
      <c r="J271" s="332" t="s">
        <v>14</v>
      </c>
    </row>
    <row r="272" spans="2:10">
      <c r="C272" s="312" t="s">
        <v>499</v>
      </c>
      <c r="D272" s="312"/>
      <c r="E272" s="312"/>
      <c r="F272" s="312"/>
      <c r="G272" s="312"/>
      <c r="H272" s="312"/>
      <c r="I272" s="332" t="s">
        <v>14</v>
      </c>
      <c r="J272" s="332" t="s">
        <v>14</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I291" s="2"/>
      <c r="J291" s="7"/>
      <c r="K291" s="2"/>
      <c r="L291" s="2"/>
      <c r="M291" s="301"/>
      <c r="N291" s="2"/>
      <c r="O291" s="301"/>
    </row>
  </sheetData>
  <sheetProtection selectLockedCells="1"/>
  <mergeCells count="109">
    <mergeCell ref="I65:J65"/>
    <mergeCell ref="C57:D57"/>
    <mergeCell ref="H57:M57"/>
    <mergeCell ref="C58:D58"/>
    <mergeCell ref="H58:M58"/>
    <mergeCell ref="I63:J63"/>
    <mergeCell ref="I64:J64"/>
    <mergeCell ref="C54:D54"/>
    <mergeCell ref="H54:M54"/>
    <mergeCell ref="C55:D55"/>
    <mergeCell ref="H55:M55"/>
    <mergeCell ref="C56:D56"/>
    <mergeCell ref="H56:M56"/>
    <mergeCell ref="C51:D51"/>
    <mergeCell ref="H51:M51"/>
    <mergeCell ref="C52:D52"/>
    <mergeCell ref="H52:M52"/>
    <mergeCell ref="C53:D53"/>
    <mergeCell ref="H53:M53"/>
    <mergeCell ref="C48:D48"/>
    <mergeCell ref="H48:M48"/>
    <mergeCell ref="C49:D49"/>
    <mergeCell ref="H49:M49"/>
    <mergeCell ref="C50:D50"/>
    <mergeCell ref="H50:M50"/>
    <mergeCell ref="C45:D45"/>
    <mergeCell ref="H45:M45"/>
    <mergeCell ref="C46:D46"/>
    <mergeCell ref="H46:M46"/>
    <mergeCell ref="C47:D47"/>
    <mergeCell ref="H47:M47"/>
    <mergeCell ref="C42:D42"/>
    <mergeCell ref="H42:M42"/>
    <mergeCell ref="C43:D43"/>
    <mergeCell ref="H43:M43"/>
    <mergeCell ref="C44:D44"/>
    <mergeCell ref="H44:M44"/>
    <mergeCell ref="C39:D39"/>
    <mergeCell ref="H39:M39"/>
    <mergeCell ref="C40:D40"/>
    <mergeCell ref="H40:M40"/>
    <mergeCell ref="C41:D41"/>
    <mergeCell ref="H41:M41"/>
    <mergeCell ref="C24:D24"/>
    <mergeCell ref="F24:G24"/>
    <mergeCell ref="K24:M24"/>
    <mergeCell ref="C27:M34"/>
    <mergeCell ref="H37:M37"/>
    <mergeCell ref="C38:D38"/>
    <mergeCell ref="H38:M38"/>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0">
    <tabColor rgb="FF00B0F0"/>
  </sheetPr>
  <dimension ref="B1:U291"/>
  <sheetViews>
    <sheetView topLeftCell="A5" workbookViewId="0">
      <selection activeCell="L12" sqref="L12:M12"/>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Detail!A33</f>
        <v>5th Ward Senior Project/ Milwaukee</v>
      </c>
      <c r="D2" s="341"/>
      <c r="E2" s="341"/>
      <c r="F2" s="120"/>
      <c r="G2" s="120"/>
      <c r="H2" s="120"/>
      <c r="I2" s="120"/>
      <c r="J2" s="120"/>
      <c r="K2" s="120"/>
      <c r="L2" s="120"/>
      <c r="M2" s="121"/>
      <c r="N2" s="319"/>
    </row>
    <row r="3" spans="2:21" s="122" customFormat="1" ht="20.25" customHeight="1" thickBot="1">
      <c r="B3" s="319"/>
      <c r="C3" s="136" t="str">
        <f>Detail!B33</f>
        <v>D Lyon</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Detail!V33</f>
        <v>Senior</v>
      </c>
      <c r="G6" s="836"/>
      <c r="H6" s="357"/>
      <c r="I6" s="833" t="s">
        <v>219</v>
      </c>
      <c r="J6" s="834"/>
      <c r="K6" s="834"/>
      <c r="L6" s="837" t="str">
        <f>Detail!I33</f>
        <v>LIHTC - 9%</v>
      </c>
      <c r="M6" s="838"/>
      <c r="N6" s="318"/>
    </row>
    <row r="7" spans="2:21" ht="17.25" customHeight="1">
      <c r="B7" s="318"/>
      <c r="C7" s="796" t="s">
        <v>214</v>
      </c>
      <c r="D7" s="797"/>
      <c r="E7" s="352"/>
      <c r="F7" s="819" t="str">
        <f>Detail!C33</f>
        <v>Milwaukee</v>
      </c>
      <c r="G7" s="820"/>
      <c r="H7" s="357"/>
      <c r="I7" s="796" t="s">
        <v>183</v>
      </c>
      <c r="J7" s="797"/>
      <c r="K7" s="797"/>
      <c r="L7" s="830" t="str">
        <f>Detail!J33</f>
        <v>Local: Other</v>
      </c>
      <c r="M7" s="831"/>
      <c r="N7" s="318"/>
    </row>
    <row r="8" spans="2:21">
      <c r="B8" s="318"/>
      <c r="C8" s="796" t="s">
        <v>9</v>
      </c>
      <c r="D8" s="797"/>
      <c r="E8" s="352"/>
      <c r="F8" s="819" t="str">
        <f>Detail!D33</f>
        <v>New Construction</v>
      </c>
      <c r="G8" s="820"/>
      <c r="H8" s="357"/>
      <c r="I8" s="796" t="s">
        <v>184</v>
      </c>
      <c r="J8" s="797"/>
      <c r="K8" s="797"/>
      <c r="L8" s="830" t="str">
        <f>Detail!K33</f>
        <v>TBD</v>
      </c>
      <c r="M8" s="831"/>
      <c r="N8" s="318"/>
    </row>
    <row r="9" spans="2:21">
      <c r="B9" s="318"/>
      <c r="C9" s="796" t="s">
        <v>215</v>
      </c>
      <c r="D9" s="797"/>
      <c r="E9" s="353"/>
      <c r="F9" s="832">
        <f>Detail!T33</f>
        <v>55</v>
      </c>
      <c r="G9" s="820"/>
      <c r="H9" s="357"/>
      <c r="I9" s="796" t="s">
        <v>185</v>
      </c>
      <c r="J9" s="797"/>
      <c r="K9" s="797"/>
      <c r="L9" s="830" t="str">
        <f>Detail!L33</f>
        <v>N/A</v>
      </c>
      <c r="M9" s="831"/>
      <c r="N9" s="318"/>
    </row>
    <row r="10" spans="2:21" ht="17.25" customHeight="1">
      <c r="B10" s="318"/>
      <c r="C10" s="796" t="s">
        <v>216</v>
      </c>
      <c r="D10" s="797"/>
      <c r="E10" s="352"/>
      <c r="F10" s="819" t="str">
        <f>Detail!V33</f>
        <v>Senior</v>
      </c>
      <c r="G10" s="820"/>
      <c r="H10" s="357"/>
      <c r="I10" s="796" t="s">
        <v>44</v>
      </c>
      <c r="J10" s="797"/>
      <c r="K10" s="797"/>
      <c r="L10" s="800">
        <f>Detail!AB33</f>
        <v>9500000</v>
      </c>
      <c r="M10" s="801"/>
      <c r="N10" s="318"/>
    </row>
    <row r="11" spans="2:21" ht="17.25" customHeight="1">
      <c r="B11" s="318"/>
      <c r="C11" s="361"/>
      <c r="D11" s="362"/>
      <c r="E11" s="352"/>
      <c r="F11" s="819" t="str">
        <f>Detail!W33</f>
        <v>Senior - Independent</v>
      </c>
      <c r="G11" s="820"/>
      <c r="H11" s="357"/>
      <c r="I11" s="796" t="s">
        <v>602</v>
      </c>
      <c r="J11" s="797"/>
      <c r="K11" s="512"/>
      <c r="L11" s="828" t="str">
        <f>Detail!AG33</f>
        <v>TBD</v>
      </c>
      <c r="M11" s="829"/>
      <c r="N11" s="318"/>
    </row>
    <row r="12" spans="2:21">
      <c r="B12" s="318"/>
      <c r="C12" s="361"/>
      <c r="D12" s="362"/>
      <c r="E12" s="352"/>
      <c r="F12" s="819" t="str">
        <f>Detail!X33</f>
        <v>N/A</v>
      </c>
      <c r="G12" s="820"/>
      <c r="H12" s="357"/>
      <c r="I12" s="796" t="s">
        <v>603</v>
      </c>
      <c r="J12" s="797"/>
      <c r="K12" s="797"/>
      <c r="L12" s="828" t="str">
        <f>Detail!N33</f>
        <v>TBD</v>
      </c>
      <c r="M12" s="829"/>
      <c r="N12" s="318"/>
    </row>
    <row r="13" spans="2:21" ht="17.25" customHeight="1">
      <c r="B13" s="318"/>
      <c r="C13" s="796" t="s">
        <v>525</v>
      </c>
      <c r="D13" s="797"/>
      <c r="E13" s="354"/>
      <c r="F13" s="827" t="str">
        <f>Detail!AM33</f>
        <v>MHMG</v>
      </c>
      <c r="G13" s="820"/>
      <c r="H13" s="357"/>
      <c r="I13" s="796" t="s">
        <v>256</v>
      </c>
      <c r="J13" s="797"/>
      <c r="K13" s="797"/>
      <c r="L13" s="800">
        <f>Detail!AC33</f>
        <v>10500000</v>
      </c>
      <c r="M13" s="801"/>
      <c r="N13" s="318"/>
    </row>
    <row r="14" spans="2:21" ht="17.25" customHeight="1">
      <c r="B14" s="318"/>
      <c r="C14" s="796" t="s">
        <v>172</v>
      </c>
      <c r="D14" s="797"/>
      <c r="E14" s="352"/>
      <c r="F14" s="819" t="str">
        <f>Detail!Z33</f>
        <v>Service Coordination</v>
      </c>
      <c r="G14" s="820"/>
      <c r="H14" s="357"/>
      <c r="I14" s="796" t="s">
        <v>257</v>
      </c>
      <c r="J14" s="797"/>
      <c r="K14" s="797"/>
      <c r="L14" s="800">
        <f>Detail!AF33</f>
        <v>9450000</v>
      </c>
      <c r="M14" s="801"/>
      <c r="N14" s="318"/>
    </row>
    <row r="15" spans="2:21" ht="17.25" customHeight="1" thickBot="1">
      <c r="B15" s="318"/>
      <c r="C15" s="796" t="s">
        <v>217</v>
      </c>
      <c r="D15" s="797"/>
      <c r="E15" s="355"/>
      <c r="F15" s="819" t="str">
        <f>Detail!AA33</f>
        <v>TBD</v>
      </c>
      <c r="G15" s="820"/>
      <c r="H15" s="357"/>
      <c r="I15" s="821" t="s">
        <v>255</v>
      </c>
      <c r="J15" s="822"/>
      <c r="K15" s="822"/>
      <c r="L15" s="823">
        <f>Detail!AD33</f>
        <v>1050000</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Detail!AH33</f>
        <v>889000</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Detail!AJ33</f>
        <v>666750</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Detail!AI33</f>
        <v>222250</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6" thickTop="1">
      <c r="B21" s="320"/>
      <c r="C21" s="804" t="s">
        <v>46</v>
      </c>
      <c r="D21" s="805"/>
      <c r="E21" s="349"/>
      <c r="F21" s="806" t="str">
        <f>Detail!F33</f>
        <v>Development</v>
      </c>
      <c r="G21" s="807"/>
      <c r="H21" s="359"/>
      <c r="I21" s="804" t="s">
        <v>226</v>
      </c>
      <c r="J21" s="805"/>
      <c r="K21" s="805"/>
      <c r="L21" s="808">
        <f>Detail!Q33</f>
        <v>0</v>
      </c>
      <c r="M21" s="809"/>
      <c r="N21" s="320"/>
    </row>
    <row r="22" spans="2:21" s="88" customFormat="1" ht="17.25" customHeight="1">
      <c r="B22" s="320"/>
      <c r="C22" s="796" t="s">
        <v>223</v>
      </c>
      <c r="D22" s="797"/>
      <c r="E22" s="348"/>
      <c r="F22" s="798">
        <f>Detail!P33</f>
        <v>41609</v>
      </c>
      <c r="G22" s="799"/>
      <c r="H22" s="359"/>
      <c r="I22" s="796" t="s">
        <v>227</v>
      </c>
      <c r="J22" s="797"/>
      <c r="K22" s="797"/>
      <c r="L22" s="800">
        <f>Detail!AO33+Detail!AP33+Detail!AQ33+Detail!AR33</f>
        <v>0</v>
      </c>
      <c r="M22" s="801"/>
      <c r="N22" s="320"/>
    </row>
    <row r="23" spans="2:21" s="88" customFormat="1" ht="17.25" customHeight="1">
      <c r="B23" s="320"/>
      <c r="C23" s="796" t="s">
        <v>224</v>
      </c>
      <c r="D23" s="797"/>
      <c r="E23" s="348"/>
      <c r="F23" s="798">
        <f>Detail!R33</f>
        <v>41640</v>
      </c>
      <c r="G23" s="799"/>
      <c r="H23" s="359"/>
      <c r="I23" s="796" t="s">
        <v>228</v>
      </c>
      <c r="J23" s="797"/>
      <c r="K23" s="797"/>
      <c r="L23" s="800">
        <f>Detail!BG33</f>
        <v>0</v>
      </c>
      <c r="M23" s="801"/>
      <c r="N23" s="320"/>
    </row>
    <row r="24" spans="2:21" s="88" customFormat="1" ht="17.25" customHeight="1" thickBot="1">
      <c r="B24" s="320"/>
      <c r="C24" s="778" t="s">
        <v>225</v>
      </c>
      <c r="D24" s="779"/>
      <c r="E24" s="513"/>
      <c r="F24" s="780">
        <f>Detail!S33</f>
        <v>42005</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5th Ward Senior Project/ Milwaukee</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ht="14">
      <c r="B38" s="322"/>
      <c r="C38" s="792" t="s">
        <v>514</v>
      </c>
      <c r="D38" s="793"/>
      <c r="E38" s="344"/>
      <c r="F38" s="368">
        <f>I92</f>
        <v>40543</v>
      </c>
      <c r="G38" s="368">
        <f>J92</f>
        <v>40543</v>
      </c>
      <c r="H38" s="794"/>
      <c r="I38" s="794"/>
      <c r="J38" s="794"/>
      <c r="K38" s="794"/>
      <c r="L38" s="794"/>
      <c r="M38" s="795"/>
      <c r="N38" s="322"/>
    </row>
    <row r="39" spans="2:19" s="300" customFormat="1" ht="12.75" customHeight="1">
      <c r="B39" s="322"/>
      <c r="C39" s="774" t="s">
        <v>516</v>
      </c>
      <c r="D39" s="775"/>
      <c r="E39" s="514"/>
      <c r="F39" s="368">
        <f>I94</f>
        <v>41072</v>
      </c>
      <c r="G39" s="369" t="str">
        <f>J94</f>
        <v>TBD</v>
      </c>
      <c r="H39" s="772" t="s">
        <v>614</v>
      </c>
      <c r="I39" s="772"/>
      <c r="J39" s="772"/>
      <c r="K39" s="772"/>
      <c r="L39" s="772"/>
      <c r="M39" s="773"/>
      <c r="N39" s="322"/>
    </row>
    <row r="40" spans="2:19" s="300" customFormat="1">
      <c r="B40" s="322"/>
      <c r="C40" s="774" t="s">
        <v>344</v>
      </c>
      <c r="D40" s="775"/>
      <c r="E40" s="514"/>
      <c r="F40" s="368" t="str">
        <f>I96</f>
        <v>TBD</v>
      </c>
      <c r="G40" s="368" t="str">
        <f>J96</f>
        <v>TBD</v>
      </c>
      <c r="H40" s="772"/>
      <c r="I40" s="772"/>
      <c r="J40" s="772"/>
      <c r="K40" s="772"/>
      <c r="L40" s="772"/>
      <c r="M40" s="773"/>
      <c r="N40" s="322"/>
    </row>
    <row r="41" spans="2:19" s="300" customFormat="1" ht="12.75" customHeight="1">
      <c r="B41" s="322"/>
      <c r="C41" s="774" t="s">
        <v>535</v>
      </c>
      <c r="D41" s="775"/>
      <c r="E41" s="514"/>
      <c r="F41" s="368">
        <f>'MKE - 5th Ward'!I102</f>
        <v>41275</v>
      </c>
      <c r="G41" s="368" t="str">
        <f>J102</f>
        <v>TBD</v>
      </c>
      <c r="H41" s="772"/>
      <c r="I41" s="772"/>
      <c r="J41" s="772"/>
      <c r="K41" s="772"/>
      <c r="L41" s="772"/>
      <c r="M41" s="773"/>
      <c r="N41" s="322"/>
      <c r="P41" s="358"/>
      <c r="Q41" s="358"/>
      <c r="R41" s="358"/>
      <c r="S41" s="358"/>
    </row>
    <row r="42" spans="2:19" s="300" customFormat="1">
      <c r="B42" s="322"/>
      <c r="C42" s="774" t="s">
        <v>536</v>
      </c>
      <c r="D42" s="775"/>
      <c r="E42" s="514"/>
      <c r="F42" s="368">
        <f>I110</f>
        <v>41275</v>
      </c>
      <c r="G42" s="368" t="str">
        <f>J110</f>
        <v>TBD</v>
      </c>
      <c r="H42" s="772"/>
      <c r="I42" s="772"/>
      <c r="J42" s="772"/>
      <c r="K42" s="772"/>
      <c r="L42" s="772"/>
      <c r="M42" s="773"/>
      <c r="N42" s="322"/>
      <c r="P42" s="358"/>
      <c r="Q42" s="358"/>
      <c r="R42" s="358"/>
      <c r="S42" s="358"/>
    </row>
    <row r="43" spans="2:19" s="300" customFormat="1">
      <c r="B43" s="322"/>
      <c r="C43" s="774" t="s">
        <v>517</v>
      </c>
      <c r="D43" s="775"/>
      <c r="E43" s="514"/>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14"/>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14"/>
      <c r="F45" s="368" t="str">
        <f>I200</f>
        <v>TBD</v>
      </c>
      <c r="G45" s="368" t="str">
        <f>J200</f>
        <v>TBD</v>
      </c>
      <c r="H45" s="772"/>
      <c r="I45" s="772"/>
      <c r="J45" s="772"/>
      <c r="K45" s="772"/>
      <c r="L45" s="772"/>
      <c r="M45" s="773"/>
      <c r="N45" s="322"/>
    </row>
    <row r="46" spans="2:19" s="300" customFormat="1">
      <c r="B46" s="322"/>
      <c r="C46" s="774" t="s">
        <v>538</v>
      </c>
      <c r="D46" s="775"/>
      <c r="E46" s="514"/>
      <c r="F46" s="368" t="str">
        <f>I232</f>
        <v>TBD</v>
      </c>
      <c r="G46" s="368" t="str">
        <f>J232</f>
        <v>TBD</v>
      </c>
      <c r="H46" s="772"/>
      <c r="I46" s="772"/>
      <c r="J46" s="772"/>
      <c r="K46" s="772"/>
      <c r="L46" s="772"/>
      <c r="M46" s="773"/>
      <c r="N46" s="322"/>
    </row>
    <row r="47" spans="2:19" s="300" customFormat="1" ht="14">
      <c r="B47" s="322"/>
      <c r="C47" s="774" t="s">
        <v>55</v>
      </c>
      <c r="D47" s="775"/>
      <c r="E47" s="514"/>
      <c r="F47" s="368">
        <f>I225</f>
        <v>41609</v>
      </c>
      <c r="G47" s="368">
        <f>J225</f>
        <v>41609</v>
      </c>
      <c r="H47" s="772"/>
      <c r="I47" s="772"/>
      <c r="J47" s="772"/>
      <c r="K47" s="772"/>
      <c r="L47" s="772"/>
      <c r="M47" s="773"/>
      <c r="N47" s="322"/>
    </row>
    <row r="48" spans="2:19" s="300" customFormat="1">
      <c r="B48" s="322"/>
      <c r="C48" s="774" t="s">
        <v>346</v>
      </c>
      <c r="D48" s="775"/>
      <c r="E48" s="514"/>
      <c r="F48" s="368" t="str">
        <f>I235</f>
        <v>TBD</v>
      </c>
      <c r="G48" s="368" t="str">
        <f>J235</f>
        <v>TBD</v>
      </c>
      <c r="H48" s="772"/>
      <c r="I48" s="772"/>
      <c r="J48" s="772"/>
      <c r="K48" s="772"/>
      <c r="L48" s="772"/>
      <c r="M48" s="773"/>
      <c r="N48" s="322"/>
    </row>
    <row r="49" spans="2:14" s="300" customFormat="1">
      <c r="B49" s="322"/>
      <c r="C49" s="774" t="s">
        <v>347</v>
      </c>
      <c r="D49" s="775"/>
      <c r="E49" s="514"/>
      <c r="F49" s="368" t="str">
        <f>I237</f>
        <v>TBD</v>
      </c>
      <c r="G49" s="368" t="str">
        <f>J237</f>
        <v>TBD</v>
      </c>
      <c r="H49" s="772"/>
      <c r="I49" s="772"/>
      <c r="J49" s="772"/>
      <c r="K49" s="772"/>
      <c r="L49" s="772"/>
      <c r="M49" s="773"/>
      <c r="N49" s="322"/>
    </row>
    <row r="50" spans="2:14" s="300" customFormat="1">
      <c r="B50" s="322"/>
      <c r="C50" s="774" t="s">
        <v>348</v>
      </c>
      <c r="D50" s="775"/>
      <c r="E50" s="514"/>
      <c r="F50" s="368" t="str">
        <f>I254</f>
        <v>TBD</v>
      </c>
      <c r="G50" s="368" t="str">
        <f>J254</f>
        <v>TBD</v>
      </c>
      <c r="H50" s="772"/>
      <c r="I50" s="772"/>
      <c r="J50" s="772"/>
      <c r="K50" s="772"/>
      <c r="L50" s="772"/>
      <c r="M50" s="773"/>
      <c r="N50" s="322"/>
    </row>
    <row r="51" spans="2:14" s="300" customFormat="1">
      <c r="B51" s="322"/>
      <c r="C51" s="774" t="s">
        <v>65</v>
      </c>
      <c r="D51" s="775"/>
      <c r="E51" s="514"/>
      <c r="F51" s="368" t="str">
        <f>I255</f>
        <v>TBD</v>
      </c>
      <c r="G51" s="368" t="str">
        <f>J255</f>
        <v>TBD</v>
      </c>
      <c r="H51" s="772"/>
      <c r="I51" s="772"/>
      <c r="J51" s="772"/>
      <c r="K51" s="772"/>
      <c r="L51" s="772"/>
      <c r="M51" s="773"/>
      <c r="N51" s="322"/>
    </row>
    <row r="52" spans="2:14" s="300" customFormat="1">
      <c r="B52" s="322"/>
      <c r="C52" s="774" t="s">
        <v>540</v>
      </c>
      <c r="D52" s="775"/>
      <c r="E52" s="514"/>
      <c r="F52" s="368" t="str">
        <f>I273</f>
        <v>TBD</v>
      </c>
      <c r="G52" s="368" t="str">
        <f>J273</f>
        <v>TBD</v>
      </c>
      <c r="H52" s="772"/>
      <c r="I52" s="772"/>
      <c r="J52" s="772"/>
      <c r="K52" s="772"/>
      <c r="L52" s="772"/>
      <c r="M52" s="773"/>
      <c r="N52" s="322"/>
    </row>
    <row r="53" spans="2:14" s="300" customFormat="1">
      <c r="B53" s="322"/>
      <c r="C53" s="774" t="s">
        <v>542</v>
      </c>
      <c r="D53" s="775"/>
      <c r="E53" s="514"/>
      <c r="F53" s="368" t="str">
        <f>I276</f>
        <v>TBD</v>
      </c>
      <c r="G53" s="368" t="str">
        <f>J276</f>
        <v>TBD</v>
      </c>
      <c r="H53" s="772"/>
      <c r="I53" s="772"/>
      <c r="J53" s="772"/>
      <c r="K53" s="772"/>
      <c r="L53" s="772"/>
      <c r="M53" s="773"/>
      <c r="N53" s="322"/>
    </row>
    <row r="54" spans="2:14" s="300" customFormat="1">
      <c r="B54" s="322"/>
      <c r="C54" s="774">
        <v>8609</v>
      </c>
      <c r="D54" s="775"/>
      <c r="E54" s="514"/>
      <c r="F54" s="368" t="str">
        <f>I289</f>
        <v>TBD</v>
      </c>
      <c r="G54" s="368" t="str">
        <f>J289</f>
        <v>TBD</v>
      </c>
      <c r="H54" s="772"/>
      <c r="I54" s="772"/>
      <c r="J54" s="772"/>
      <c r="K54" s="772"/>
      <c r="L54" s="772"/>
      <c r="M54" s="773"/>
      <c r="N54" s="322"/>
    </row>
    <row r="55" spans="2:14" s="300" customFormat="1">
      <c r="B55" s="322"/>
      <c r="C55" s="774" t="s">
        <v>349</v>
      </c>
      <c r="D55" s="775"/>
      <c r="E55" s="344"/>
      <c r="F55" s="370" t="str">
        <f>I290</f>
        <v>TBD</v>
      </c>
      <c r="G55" s="370" t="str">
        <f>J290</f>
        <v>TBD</v>
      </c>
      <c r="H55" s="772"/>
      <c r="I55" s="772"/>
      <c r="J55" s="772"/>
      <c r="K55" s="772"/>
      <c r="L55" s="772"/>
      <c r="M55" s="773"/>
      <c r="N55" s="322"/>
    </row>
    <row r="56" spans="2:14" s="300" customFormat="1" ht="14">
      <c r="B56" s="322"/>
      <c r="C56" s="776" t="s">
        <v>69</v>
      </c>
      <c r="D56" s="777"/>
      <c r="E56" s="515"/>
      <c r="F56" s="338"/>
      <c r="G56" s="338"/>
      <c r="H56" s="772"/>
      <c r="I56" s="772"/>
      <c r="J56" s="772"/>
      <c r="K56" s="772"/>
      <c r="L56" s="772"/>
      <c r="M56" s="773"/>
      <c r="N56" s="322"/>
    </row>
    <row r="57" spans="2:14" s="300" customFormat="1" ht="14">
      <c r="B57" s="322"/>
      <c r="C57" s="770" t="s">
        <v>522</v>
      </c>
      <c r="D57" s="771"/>
      <c r="E57" s="515"/>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5th Ward Senior Project/ Milwaukee</v>
      </c>
      <c r="J63" s="769"/>
      <c r="K63" s="17"/>
      <c r="L63" s="17"/>
      <c r="M63" s="8"/>
      <c r="N63" s="17"/>
    </row>
    <row r="64" spans="2:14" ht="16" thickBot="1">
      <c r="C64" s="308" t="s">
        <v>351</v>
      </c>
      <c r="D64" s="308"/>
      <c r="E64" s="308"/>
      <c r="F64" s="308"/>
      <c r="H64" s="363"/>
      <c r="I64" s="768" t="str">
        <f>F7</f>
        <v>Milwaukee</v>
      </c>
      <c r="J64" s="769"/>
      <c r="K64" s="17"/>
      <c r="L64" s="17"/>
      <c r="M64" s="8"/>
      <c r="N64" s="17"/>
    </row>
    <row r="65" spans="2:15" ht="16" thickBot="1">
      <c r="C65" s="308" t="s">
        <v>352</v>
      </c>
      <c r="D65" s="308"/>
      <c r="E65" s="308"/>
      <c r="F65" s="308"/>
      <c r="H65" s="363"/>
      <c r="I65" s="768" t="str">
        <f>C3</f>
        <v>D Lyon</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537">
        <v>40954</v>
      </c>
      <c r="J70" s="537">
        <v>40954</v>
      </c>
    </row>
    <row r="71" spans="2:15">
      <c r="C71" s="2" t="s">
        <v>356</v>
      </c>
      <c r="D71" s="2"/>
      <c r="E71" s="2"/>
      <c r="F71" s="2"/>
      <c r="G71" s="2"/>
      <c r="H71" s="2"/>
      <c r="I71" s="537">
        <v>41274</v>
      </c>
      <c r="J71" s="537" t="s">
        <v>14</v>
      </c>
    </row>
    <row r="72" spans="2:15">
      <c r="C72" s="2" t="s">
        <v>357</v>
      </c>
      <c r="D72" s="2"/>
      <c r="E72" s="2"/>
      <c r="F72" s="2"/>
      <c r="G72" s="2"/>
      <c r="H72" s="2"/>
      <c r="I72" s="537">
        <v>41274</v>
      </c>
      <c r="J72" s="537" t="s">
        <v>14</v>
      </c>
    </row>
    <row r="73" spans="2:15">
      <c r="C73" s="2" t="s">
        <v>358</v>
      </c>
      <c r="D73" s="2"/>
      <c r="E73" s="2"/>
      <c r="F73" s="2"/>
      <c r="G73" s="2"/>
      <c r="H73" s="2"/>
      <c r="I73" s="537">
        <v>41274</v>
      </c>
      <c r="J73" s="537" t="s">
        <v>14</v>
      </c>
    </row>
    <row r="74" spans="2:15">
      <c r="C74" s="312" t="s">
        <v>359</v>
      </c>
      <c r="D74" s="312"/>
      <c r="E74" s="312"/>
      <c r="F74" s="312"/>
      <c r="G74" s="312"/>
      <c r="H74" s="312"/>
      <c r="I74" s="537">
        <v>41274</v>
      </c>
      <c r="J74" s="537" t="s">
        <v>14</v>
      </c>
    </row>
    <row r="75" spans="2:15">
      <c r="C75" s="2" t="s">
        <v>360</v>
      </c>
      <c r="D75" s="2"/>
      <c r="E75" s="2"/>
      <c r="F75" s="312"/>
      <c r="G75" s="312"/>
      <c r="H75" s="312"/>
      <c r="I75" s="537">
        <v>41274</v>
      </c>
      <c r="J75" s="537" t="s">
        <v>14</v>
      </c>
    </row>
    <row r="76" spans="2:15">
      <c r="C76" s="2" t="s">
        <v>361</v>
      </c>
      <c r="D76" s="2"/>
      <c r="E76" s="2"/>
      <c r="F76" s="312"/>
      <c r="G76" s="312"/>
      <c r="H76" s="312"/>
      <c r="I76" s="537">
        <v>41274</v>
      </c>
      <c r="J76" s="537" t="s">
        <v>14</v>
      </c>
    </row>
    <row r="77" spans="2:15">
      <c r="C77" s="2" t="s">
        <v>362</v>
      </c>
      <c r="D77" s="2"/>
      <c r="E77" s="2"/>
      <c r="F77" s="312"/>
      <c r="G77" s="312"/>
      <c r="H77" s="312"/>
      <c r="I77" s="537"/>
      <c r="J77" s="537"/>
    </row>
    <row r="78" spans="2:15">
      <c r="C78" s="312" t="s">
        <v>363</v>
      </c>
      <c r="D78" s="312"/>
      <c r="E78" s="312"/>
      <c r="F78" s="312"/>
      <c r="G78" s="312"/>
      <c r="H78" s="312"/>
      <c r="I78" s="537">
        <v>41072</v>
      </c>
      <c r="J78" s="537" t="s">
        <v>14</v>
      </c>
    </row>
    <row r="79" spans="2:15">
      <c r="C79" s="312" t="s">
        <v>364</v>
      </c>
      <c r="D79" s="312"/>
      <c r="E79" s="312"/>
      <c r="F79" s="312"/>
      <c r="G79" s="312"/>
      <c r="H79" s="312"/>
      <c r="I79" s="537">
        <v>41072</v>
      </c>
      <c r="J79" s="537" t="s">
        <v>14</v>
      </c>
    </row>
    <row r="80" spans="2:15">
      <c r="C80" s="312" t="s">
        <v>365</v>
      </c>
      <c r="D80" s="312"/>
      <c r="E80" s="312"/>
      <c r="F80" s="312"/>
      <c r="G80" s="312"/>
      <c r="H80" s="312"/>
      <c r="I80" s="537">
        <v>41072</v>
      </c>
      <c r="J80" s="537" t="s">
        <v>14</v>
      </c>
    </row>
    <row r="81" spans="2:10">
      <c r="C81" s="315" t="s">
        <v>366</v>
      </c>
      <c r="D81" s="315"/>
      <c r="E81" s="315"/>
      <c r="F81" s="314"/>
      <c r="G81" s="314"/>
      <c r="H81" s="314"/>
      <c r="I81" s="537">
        <v>41072</v>
      </c>
      <c r="J81" s="537" t="s">
        <v>14</v>
      </c>
    </row>
    <row r="82" spans="2:10">
      <c r="C82" s="2" t="s">
        <v>367</v>
      </c>
      <c r="D82" s="2"/>
      <c r="E82" s="2"/>
      <c r="F82" s="312"/>
      <c r="G82" s="312"/>
      <c r="H82" s="312"/>
      <c r="I82" s="537"/>
      <c r="J82" s="537"/>
    </row>
    <row r="83" spans="2:10">
      <c r="C83" s="312" t="s">
        <v>368</v>
      </c>
      <c r="D83" s="312"/>
      <c r="E83" s="312"/>
      <c r="F83" s="312"/>
      <c r="G83" s="312"/>
      <c r="H83" s="312"/>
      <c r="I83" s="537">
        <v>40908</v>
      </c>
      <c r="J83" s="537">
        <v>40908</v>
      </c>
    </row>
    <row r="84" spans="2:10">
      <c r="C84" s="312" t="s">
        <v>369</v>
      </c>
      <c r="D84" s="312"/>
      <c r="E84" s="312"/>
      <c r="F84" s="312"/>
      <c r="G84" s="312"/>
      <c r="H84" s="312"/>
      <c r="I84" s="537">
        <v>40908</v>
      </c>
      <c r="J84" s="537">
        <v>40908</v>
      </c>
    </row>
    <row r="85" spans="2:10">
      <c r="C85" s="312" t="s">
        <v>370</v>
      </c>
      <c r="D85" s="312"/>
      <c r="E85" s="312"/>
      <c r="F85" s="312"/>
      <c r="G85" s="312"/>
      <c r="H85" s="312"/>
      <c r="I85" s="537">
        <v>40908</v>
      </c>
      <c r="J85" s="537">
        <v>40908</v>
      </c>
    </row>
    <row r="86" spans="2:10">
      <c r="C86" s="2" t="s">
        <v>371</v>
      </c>
      <c r="D86" s="2"/>
      <c r="E86" s="2"/>
      <c r="F86" s="312"/>
      <c r="G86" s="312"/>
      <c r="H86" s="312"/>
      <c r="I86" s="537">
        <v>40908</v>
      </c>
      <c r="J86" s="537">
        <v>40908</v>
      </c>
    </row>
    <row r="87" spans="2:10">
      <c r="C87" s="2" t="s">
        <v>372</v>
      </c>
      <c r="D87" s="2"/>
      <c r="E87" s="2"/>
      <c r="F87" s="312"/>
      <c r="G87" s="312"/>
      <c r="H87" s="312"/>
      <c r="I87" s="537">
        <v>41072</v>
      </c>
      <c r="J87" s="537" t="s">
        <v>14</v>
      </c>
    </row>
    <row r="88" spans="2:10">
      <c r="C88" s="2" t="s">
        <v>373</v>
      </c>
      <c r="D88" s="2"/>
      <c r="E88" s="2"/>
      <c r="F88" s="312"/>
      <c r="G88" s="312"/>
      <c r="H88" s="312"/>
      <c r="I88" s="537">
        <v>41072</v>
      </c>
      <c r="J88" s="537" t="s">
        <v>14</v>
      </c>
    </row>
    <row r="89" spans="2:10">
      <c r="C89" s="2" t="s">
        <v>374</v>
      </c>
      <c r="D89" s="2"/>
      <c r="E89" s="2"/>
      <c r="F89" s="312"/>
      <c r="G89" s="312"/>
      <c r="H89" s="312"/>
      <c r="I89" s="537">
        <v>41072</v>
      </c>
      <c r="J89" s="537" t="s">
        <v>14</v>
      </c>
    </row>
    <row r="90" spans="2:10">
      <c r="C90" s="2" t="s">
        <v>375</v>
      </c>
      <c r="D90" s="2"/>
      <c r="E90" s="2"/>
      <c r="F90" s="312"/>
      <c r="G90" s="312"/>
      <c r="H90" s="312"/>
      <c r="I90" s="537">
        <v>41072</v>
      </c>
      <c r="J90" s="537" t="s">
        <v>14</v>
      </c>
    </row>
    <row r="91" spans="2:10">
      <c r="C91" s="2" t="s">
        <v>376</v>
      </c>
      <c r="D91" s="2"/>
      <c r="E91" s="2"/>
      <c r="F91" s="312"/>
      <c r="G91" s="312"/>
      <c r="H91" s="312"/>
      <c r="I91" s="537">
        <v>41072</v>
      </c>
      <c r="J91" s="537" t="s">
        <v>14</v>
      </c>
    </row>
    <row r="92" spans="2:10">
      <c r="C92" s="308" t="s">
        <v>377</v>
      </c>
      <c r="D92" s="308"/>
      <c r="E92" s="308"/>
      <c r="F92" s="312"/>
      <c r="G92" s="312"/>
      <c r="H92" s="312"/>
      <c r="I92" s="537">
        <v>40543</v>
      </c>
      <c r="J92" s="537">
        <v>40543</v>
      </c>
    </row>
    <row r="93" spans="2:10">
      <c r="C93" s="2"/>
      <c r="D93" s="2"/>
      <c r="E93" s="2"/>
      <c r="F93" s="312"/>
      <c r="G93" s="312"/>
      <c r="H93" s="312"/>
      <c r="I93" s="537"/>
      <c r="J93" s="537"/>
    </row>
    <row r="94" spans="2:10">
      <c r="B94" s="309" t="s">
        <v>378</v>
      </c>
      <c r="C94" s="308"/>
      <c r="D94" s="308"/>
      <c r="E94" s="308"/>
      <c r="F94" s="313"/>
      <c r="G94" s="313"/>
      <c r="H94" s="313"/>
      <c r="I94" s="537">
        <v>41072</v>
      </c>
      <c r="J94" s="537" t="s">
        <v>14</v>
      </c>
    </row>
    <row r="95" spans="2:10">
      <c r="B95" s="309"/>
      <c r="C95" s="308"/>
      <c r="D95" s="308"/>
      <c r="E95" s="308"/>
      <c r="F95" s="313"/>
      <c r="G95" s="313"/>
      <c r="H95" s="313"/>
      <c r="I95" s="537"/>
      <c r="J95" s="537"/>
    </row>
    <row r="96" spans="2:10">
      <c r="B96" s="308" t="s">
        <v>512</v>
      </c>
      <c r="C96" s="2"/>
      <c r="D96" s="2"/>
      <c r="E96" s="2"/>
      <c r="F96" s="312"/>
      <c r="G96" s="312"/>
      <c r="H96" s="312"/>
      <c r="I96" s="537" t="s">
        <v>14</v>
      </c>
      <c r="J96" s="537" t="s">
        <v>14</v>
      </c>
    </row>
    <row r="97" spans="2:10">
      <c r="B97" s="2"/>
      <c r="C97" s="2"/>
      <c r="D97" s="2"/>
      <c r="E97" s="2"/>
      <c r="F97" s="312"/>
      <c r="G97" s="312"/>
      <c r="H97" s="312"/>
      <c r="I97" s="537"/>
      <c r="J97" s="537"/>
    </row>
    <row r="98" spans="2:10">
      <c r="B98" s="308" t="s">
        <v>379</v>
      </c>
      <c r="C98" s="2"/>
      <c r="D98" s="2"/>
      <c r="E98" s="2"/>
      <c r="F98" s="312"/>
      <c r="G98" s="312"/>
      <c r="H98" s="312"/>
      <c r="I98" s="537"/>
      <c r="J98" s="537"/>
    </row>
    <row r="99" spans="2:10">
      <c r="C99" s="2" t="s">
        <v>380</v>
      </c>
      <c r="D99" s="2"/>
      <c r="E99" s="2"/>
      <c r="F99" s="312"/>
      <c r="G99" s="312"/>
      <c r="H99" s="312"/>
      <c r="I99" s="537" t="s">
        <v>67</v>
      </c>
      <c r="J99" s="537" t="s">
        <v>67</v>
      </c>
    </row>
    <row r="100" spans="2:10">
      <c r="C100" s="2" t="s">
        <v>381</v>
      </c>
      <c r="D100" s="2"/>
      <c r="E100" s="2"/>
      <c r="F100" s="312"/>
      <c r="G100" s="312"/>
      <c r="H100" s="312"/>
      <c r="I100" s="537">
        <v>41275</v>
      </c>
      <c r="J100" s="537" t="s">
        <v>14</v>
      </c>
    </row>
    <row r="101" spans="2:10">
      <c r="C101" s="2" t="s">
        <v>382</v>
      </c>
      <c r="D101" s="2"/>
      <c r="E101" s="2"/>
      <c r="F101" s="312"/>
      <c r="G101" s="312"/>
      <c r="H101" s="312"/>
      <c r="I101" s="537" t="s">
        <v>67</v>
      </c>
      <c r="J101" s="537" t="s">
        <v>67</v>
      </c>
    </row>
    <row r="102" spans="2:10">
      <c r="C102" s="308" t="s">
        <v>534</v>
      </c>
      <c r="D102" s="2"/>
      <c r="E102" s="2"/>
      <c r="F102" s="312"/>
      <c r="G102" s="312"/>
      <c r="H102" s="312"/>
      <c r="I102" s="537">
        <v>41275</v>
      </c>
      <c r="J102" s="537" t="s">
        <v>14</v>
      </c>
    </row>
    <row r="103" spans="2:10">
      <c r="C103" s="2" t="s">
        <v>524</v>
      </c>
      <c r="D103" s="2"/>
      <c r="E103" s="2"/>
      <c r="F103" s="312"/>
      <c r="G103" s="312"/>
      <c r="H103" s="312"/>
      <c r="I103" s="537" t="s">
        <v>67</v>
      </c>
      <c r="J103" s="537" t="s">
        <v>67</v>
      </c>
    </row>
    <row r="104" spans="2:10">
      <c r="C104" s="2" t="s">
        <v>383</v>
      </c>
      <c r="D104" s="2"/>
      <c r="E104" s="2"/>
      <c r="F104" s="312"/>
      <c r="G104" s="312"/>
      <c r="H104" s="312"/>
      <c r="I104" s="537" t="s">
        <v>67</v>
      </c>
      <c r="J104" s="537" t="s">
        <v>67</v>
      </c>
    </row>
    <row r="105" spans="2:10">
      <c r="C105" s="2" t="s">
        <v>384</v>
      </c>
      <c r="D105" s="2"/>
      <c r="E105" s="2"/>
      <c r="F105" s="312"/>
      <c r="G105" s="312"/>
      <c r="H105" s="312"/>
      <c r="I105" s="537" t="s">
        <v>67</v>
      </c>
      <c r="J105" s="537" t="s">
        <v>67</v>
      </c>
    </row>
    <row r="106" spans="2:10">
      <c r="C106" s="2" t="s">
        <v>544</v>
      </c>
      <c r="D106" s="2"/>
      <c r="E106" s="2"/>
      <c r="F106" s="312"/>
      <c r="G106" s="312"/>
      <c r="H106" s="312"/>
      <c r="I106" s="537" t="s">
        <v>67</v>
      </c>
      <c r="J106" s="537" t="s">
        <v>67</v>
      </c>
    </row>
    <row r="107" spans="2:10">
      <c r="C107" s="2" t="s">
        <v>385</v>
      </c>
      <c r="D107" s="2"/>
      <c r="E107" s="2"/>
      <c r="F107" s="312"/>
      <c r="G107" s="312"/>
      <c r="H107" s="312"/>
      <c r="I107" s="537" t="s">
        <v>67</v>
      </c>
      <c r="J107" s="537" t="s">
        <v>67</v>
      </c>
    </row>
    <row r="108" spans="2:10">
      <c r="C108" s="2" t="s">
        <v>386</v>
      </c>
      <c r="D108" s="2"/>
      <c r="E108" s="2"/>
      <c r="F108" s="312"/>
      <c r="G108" s="312"/>
      <c r="H108" s="312"/>
      <c r="I108" s="537" t="s">
        <v>67</v>
      </c>
      <c r="J108" s="537" t="s">
        <v>67</v>
      </c>
    </row>
    <row r="109" spans="2:10">
      <c r="C109" s="2" t="s">
        <v>523</v>
      </c>
      <c r="D109" s="2"/>
      <c r="E109" s="2"/>
      <c r="F109" s="312"/>
      <c r="G109" s="312"/>
      <c r="H109" s="312"/>
      <c r="I109" s="537" t="s">
        <v>67</v>
      </c>
      <c r="J109" s="537" t="s">
        <v>67</v>
      </c>
    </row>
    <row r="110" spans="2:10">
      <c r="C110" s="308" t="s">
        <v>526</v>
      </c>
      <c r="D110" s="2"/>
      <c r="E110" s="2"/>
      <c r="F110" s="312"/>
      <c r="G110" s="312"/>
      <c r="H110" s="312"/>
      <c r="I110" s="537">
        <v>41275</v>
      </c>
      <c r="J110" s="537" t="s">
        <v>14</v>
      </c>
    </row>
    <row r="111" spans="2:10">
      <c r="C111" s="2"/>
      <c r="D111" s="2"/>
      <c r="E111" s="2"/>
      <c r="F111" s="312"/>
      <c r="G111" s="312"/>
      <c r="H111" s="312"/>
      <c r="I111" s="537"/>
      <c r="J111" s="537"/>
    </row>
    <row r="112" spans="2:10">
      <c r="B112" s="308" t="s">
        <v>218</v>
      </c>
      <c r="C112" s="301"/>
      <c r="D112" s="301"/>
      <c r="E112" s="301"/>
      <c r="F112" s="312"/>
      <c r="G112" s="312"/>
      <c r="H112" s="312"/>
      <c r="I112" s="537"/>
      <c r="J112" s="537"/>
    </row>
    <row r="113" spans="3:10">
      <c r="C113" s="310" t="s">
        <v>387</v>
      </c>
      <c r="D113" s="310"/>
      <c r="E113" s="310"/>
      <c r="F113" s="312"/>
      <c r="G113" s="312"/>
      <c r="H113" s="312"/>
      <c r="I113" s="537"/>
      <c r="J113" s="537"/>
    </row>
    <row r="114" spans="3:10">
      <c r="C114" s="312" t="s">
        <v>388</v>
      </c>
      <c r="D114" s="312"/>
      <c r="E114" s="312"/>
      <c r="F114" s="312"/>
      <c r="G114" s="312"/>
      <c r="H114" s="312"/>
      <c r="I114" s="537"/>
      <c r="J114" s="537"/>
    </row>
    <row r="115" spans="3:10">
      <c r="C115" s="315" t="s">
        <v>389</v>
      </c>
      <c r="D115" s="315"/>
      <c r="E115" s="315"/>
      <c r="F115" s="315"/>
      <c r="G115" s="315"/>
      <c r="H115" s="315"/>
      <c r="I115" s="537">
        <v>41061</v>
      </c>
      <c r="J115" s="537" t="s">
        <v>14</v>
      </c>
    </row>
    <row r="116" spans="3:10">
      <c r="C116" s="315" t="s">
        <v>342</v>
      </c>
      <c r="D116" s="315"/>
      <c r="E116" s="315"/>
      <c r="F116" s="315"/>
      <c r="G116" s="315"/>
      <c r="H116" s="315"/>
      <c r="I116" s="537">
        <v>41061</v>
      </c>
      <c r="J116" s="537" t="s">
        <v>14</v>
      </c>
    </row>
    <row r="117" spans="3:10">
      <c r="C117" s="315" t="s">
        <v>390</v>
      </c>
      <c r="D117" s="315"/>
      <c r="E117" s="315"/>
      <c r="F117" s="315"/>
      <c r="G117" s="315"/>
      <c r="H117" s="315"/>
      <c r="I117" s="537">
        <v>41061</v>
      </c>
      <c r="J117" s="537" t="s">
        <v>14</v>
      </c>
    </row>
    <row r="118" spans="3:10">
      <c r="C118" s="312" t="s">
        <v>391</v>
      </c>
      <c r="D118" s="312"/>
      <c r="E118" s="312"/>
      <c r="F118" s="312"/>
      <c r="G118" s="312"/>
      <c r="H118" s="312"/>
      <c r="I118" s="537"/>
      <c r="J118" s="537"/>
    </row>
    <row r="119" spans="3:10">
      <c r="C119" s="315" t="s">
        <v>389</v>
      </c>
      <c r="D119" s="315"/>
      <c r="E119" s="315"/>
      <c r="F119" s="315"/>
      <c r="G119" s="315"/>
      <c r="H119" s="315"/>
      <c r="I119" s="537"/>
      <c r="J119" s="537"/>
    </row>
    <row r="120" spans="3:10">
      <c r="C120" s="315" t="s">
        <v>392</v>
      </c>
      <c r="D120" s="315"/>
      <c r="E120" s="315"/>
      <c r="F120" s="315"/>
      <c r="G120" s="315"/>
      <c r="H120" s="315"/>
      <c r="I120" s="537" t="s">
        <v>14</v>
      </c>
      <c r="J120" s="537" t="s">
        <v>14</v>
      </c>
    </row>
    <row r="121" spans="3:10">
      <c r="C121" s="315" t="s">
        <v>393</v>
      </c>
      <c r="D121" s="315"/>
      <c r="E121" s="315"/>
      <c r="F121" s="315"/>
      <c r="G121" s="315"/>
      <c r="H121" s="315"/>
      <c r="I121" s="537" t="s">
        <v>14</v>
      </c>
      <c r="J121" s="537" t="s">
        <v>14</v>
      </c>
    </row>
    <row r="122" spans="3:10">
      <c r="C122" s="315" t="s">
        <v>394</v>
      </c>
      <c r="D122" s="315"/>
      <c r="E122" s="315"/>
      <c r="F122" s="315"/>
      <c r="G122" s="315"/>
      <c r="H122" s="315"/>
      <c r="I122" s="537" t="s">
        <v>14</v>
      </c>
      <c r="J122" s="537" t="s">
        <v>14</v>
      </c>
    </row>
    <row r="123" spans="3:10">
      <c r="C123" s="315" t="s">
        <v>395</v>
      </c>
      <c r="D123" s="315"/>
      <c r="E123" s="315"/>
      <c r="F123" s="315"/>
      <c r="G123" s="315"/>
      <c r="H123" s="315"/>
      <c r="I123" s="537"/>
      <c r="J123" s="537"/>
    </row>
    <row r="124" spans="3:10">
      <c r="C124" s="315" t="s">
        <v>392</v>
      </c>
      <c r="D124" s="315"/>
      <c r="E124" s="315"/>
      <c r="F124" s="315"/>
      <c r="G124" s="315"/>
      <c r="H124" s="315"/>
      <c r="I124" s="537" t="s">
        <v>14</v>
      </c>
      <c r="J124" s="537" t="s">
        <v>14</v>
      </c>
    </row>
    <row r="125" spans="3:10">
      <c r="C125" s="315" t="s">
        <v>393</v>
      </c>
      <c r="D125" s="315"/>
      <c r="E125" s="315"/>
      <c r="F125" s="315"/>
      <c r="G125" s="315"/>
      <c r="H125" s="315"/>
      <c r="I125" s="537" t="s">
        <v>14</v>
      </c>
      <c r="J125" s="537" t="s">
        <v>14</v>
      </c>
    </row>
    <row r="126" spans="3:10">
      <c r="C126" s="315" t="s">
        <v>394</v>
      </c>
      <c r="D126" s="315"/>
      <c r="E126" s="315"/>
      <c r="F126" s="315"/>
      <c r="G126" s="315"/>
      <c r="H126" s="315"/>
      <c r="I126" s="537" t="s">
        <v>14</v>
      </c>
      <c r="J126" s="537" t="s">
        <v>14</v>
      </c>
    </row>
    <row r="127" spans="3:10">
      <c r="C127" s="315" t="s">
        <v>396</v>
      </c>
      <c r="D127" s="315"/>
      <c r="E127" s="315"/>
      <c r="F127" s="315"/>
      <c r="G127" s="315"/>
      <c r="H127" s="315"/>
      <c r="I127" s="537" t="s">
        <v>14</v>
      </c>
      <c r="J127" s="537" t="s">
        <v>14</v>
      </c>
    </row>
    <row r="128" spans="3:10">
      <c r="C128" s="315" t="s">
        <v>390</v>
      </c>
      <c r="D128" s="315"/>
      <c r="E128" s="315"/>
      <c r="F128" s="315"/>
      <c r="G128" s="315"/>
      <c r="H128" s="315"/>
      <c r="I128" s="537"/>
      <c r="J128" s="537"/>
    </row>
    <row r="129" spans="2:10">
      <c r="C129" s="315" t="s">
        <v>392</v>
      </c>
      <c r="D129" s="315"/>
      <c r="E129" s="315"/>
      <c r="F129" s="315"/>
      <c r="G129" s="315"/>
      <c r="H129" s="315"/>
      <c r="I129" s="537" t="s">
        <v>14</v>
      </c>
      <c r="J129" s="537" t="s">
        <v>14</v>
      </c>
    </row>
    <row r="130" spans="2:10">
      <c r="C130" s="315" t="s">
        <v>393</v>
      </c>
      <c r="D130" s="315"/>
      <c r="E130" s="315"/>
      <c r="F130" s="315"/>
      <c r="G130" s="315"/>
      <c r="H130" s="315"/>
      <c r="I130" s="537" t="s">
        <v>14</v>
      </c>
      <c r="J130" s="537" t="s">
        <v>14</v>
      </c>
    </row>
    <row r="131" spans="2:10">
      <c r="C131" s="313" t="s">
        <v>528</v>
      </c>
      <c r="D131" s="312"/>
      <c r="E131" s="312"/>
      <c r="F131" s="312"/>
      <c r="G131" s="312"/>
      <c r="H131" s="312"/>
      <c r="I131" s="537" t="s">
        <v>14</v>
      </c>
      <c r="J131" s="537" t="s">
        <v>14</v>
      </c>
    </row>
    <row r="132" spans="2:10">
      <c r="C132" s="312"/>
      <c r="D132" s="312"/>
      <c r="E132" s="312"/>
      <c r="F132" s="312"/>
      <c r="G132" s="312"/>
      <c r="H132" s="312"/>
      <c r="I132" s="537"/>
      <c r="J132" s="537"/>
    </row>
    <row r="133" spans="2:10">
      <c r="B133" s="308" t="s">
        <v>397</v>
      </c>
      <c r="C133" s="308"/>
      <c r="D133" s="308"/>
      <c r="E133" s="308"/>
      <c r="F133" s="312"/>
      <c r="G133" s="312"/>
      <c r="H133" s="312"/>
      <c r="I133" s="537"/>
      <c r="J133" s="537"/>
    </row>
    <row r="134" spans="2:10">
      <c r="C134" s="2" t="s">
        <v>356</v>
      </c>
      <c r="D134" s="2"/>
      <c r="E134" s="2"/>
      <c r="F134" s="312"/>
      <c r="G134" s="312"/>
      <c r="H134" s="312"/>
      <c r="I134" s="537">
        <v>40908</v>
      </c>
      <c r="J134" s="537">
        <v>40908</v>
      </c>
    </row>
    <row r="135" spans="2:10">
      <c r="C135" s="2" t="s">
        <v>398</v>
      </c>
      <c r="D135" s="2"/>
      <c r="E135" s="2"/>
      <c r="F135" s="312"/>
      <c r="G135" s="312"/>
      <c r="H135" s="312"/>
      <c r="I135" s="537">
        <v>40908</v>
      </c>
      <c r="J135" s="537">
        <v>40908</v>
      </c>
    </row>
    <row r="136" spans="2:10">
      <c r="C136" s="2" t="s">
        <v>399</v>
      </c>
      <c r="D136" s="2"/>
      <c r="E136" s="2"/>
      <c r="F136" s="312"/>
      <c r="G136" s="312"/>
      <c r="H136" s="312"/>
      <c r="I136" s="537"/>
      <c r="J136" s="537"/>
    </row>
    <row r="137" spans="2:10">
      <c r="C137" s="312" t="s">
        <v>363</v>
      </c>
      <c r="D137" s="312"/>
      <c r="E137" s="312"/>
      <c r="F137" s="312"/>
      <c r="G137" s="312"/>
      <c r="H137" s="312"/>
      <c r="I137" s="537" t="s">
        <v>14</v>
      </c>
      <c r="J137" s="537" t="s">
        <v>14</v>
      </c>
    </row>
    <row r="138" spans="2:10">
      <c r="C138" s="2" t="s">
        <v>400</v>
      </c>
      <c r="D138" s="2"/>
      <c r="E138" s="2"/>
      <c r="F138" s="312"/>
      <c r="G138" s="312"/>
      <c r="H138" s="312"/>
      <c r="I138" s="537" t="s">
        <v>14</v>
      </c>
      <c r="J138" s="537" t="s">
        <v>14</v>
      </c>
    </row>
    <row r="139" spans="2:10">
      <c r="C139" s="2" t="s">
        <v>401</v>
      </c>
      <c r="D139" s="2"/>
      <c r="E139" s="2"/>
      <c r="F139" s="312"/>
      <c r="G139" s="312"/>
      <c r="H139" s="312"/>
      <c r="I139" s="537" t="s">
        <v>14</v>
      </c>
      <c r="J139" s="537" t="s">
        <v>14</v>
      </c>
    </row>
    <row r="140" spans="2:10">
      <c r="C140" s="2" t="s">
        <v>402</v>
      </c>
      <c r="D140" s="2"/>
      <c r="E140" s="2"/>
      <c r="F140" s="312"/>
      <c r="G140" s="312"/>
      <c r="H140" s="312"/>
      <c r="I140" s="537"/>
      <c r="J140" s="537"/>
    </row>
    <row r="141" spans="2:10">
      <c r="C141" s="312" t="s">
        <v>403</v>
      </c>
      <c r="D141" s="312"/>
      <c r="E141" s="312"/>
      <c r="F141" s="312"/>
      <c r="G141" s="312"/>
      <c r="H141" s="312"/>
      <c r="I141" s="537" t="s">
        <v>14</v>
      </c>
      <c r="J141" s="537" t="s">
        <v>14</v>
      </c>
    </row>
    <row r="142" spans="2:10">
      <c r="C142" s="312" t="s">
        <v>404</v>
      </c>
      <c r="D142" s="312"/>
      <c r="E142" s="312"/>
      <c r="F142" s="312"/>
      <c r="G142" s="312"/>
      <c r="H142" s="312"/>
      <c r="I142" s="537" t="s">
        <v>14</v>
      </c>
      <c r="J142" s="537" t="s">
        <v>14</v>
      </c>
    </row>
    <row r="143" spans="2:10">
      <c r="C143" s="312" t="s">
        <v>405</v>
      </c>
      <c r="D143" s="312"/>
      <c r="E143" s="312"/>
      <c r="F143" s="312"/>
      <c r="G143" s="312"/>
      <c r="H143" s="312"/>
      <c r="I143" s="537" t="s">
        <v>14</v>
      </c>
      <c r="J143" s="537" t="s">
        <v>14</v>
      </c>
    </row>
    <row r="144" spans="2:10">
      <c r="C144" s="2" t="s">
        <v>406</v>
      </c>
      <c r="D144" s="2"/>
      <c r="E144" s="2"/>
      <c r="F144" s="312"/>
      <c r="G144" s="312"/>
      <c r="H144" s="312"/>
      <c r="I144" s="537"/>
      <c r="J144" s="537"/>
    </row>
    <row r="145" spans="3:10">
      <c r="C145" s="2" t="s">
        <v>407</v>
      </c>
      <c r="D145" s="2"/>
      <c r="E145" s="2"/>
      <c r="F145" s="312"/>
      <c r="G145" s="312"/>
      <c r="H145" s="312"/>
      <c r="I145" s="537"/>
      <c r="J145" s="537"/>
    </row>
    <row r="146" spans="3:10">
      <c r="C146" s="312" t="s">
        <v>408</v>
      </c>
      <c r="D146" s="312"/>
      <c r="E146" s="312"/>
      <c r="F146" s="312"/>
      <c r="G146" s="312"/>
      <c r="H146" s="312"/>
      <c r="I146" s="537" t="s">
        <v>14</v>
      </c>
      <c r="J146" s="537" t="s">
        <v>14</v>
      </c>
    </row>
    <row r="147" spans="3:10">
      <c r="C147" s="312" t="s">
        <v>409</v>
      </c>
      <c r="D147" s="312"/>
      <c r="E147" s="312"/>
      <c r="F147" s="312"/>
      <c r="G147" s="312"/>
      <c r="H147" s="312"/>
      <c r="I147" s="537" t="s">
        <v>14</v>
      </c>
      <c r="J147" s="537" t="s">
        <v>14</v>
      </c>
    </row>
    <row r="148" spans="3:10">
      <c r="C148" s="2" t="s">
        <v>410</v>
      </c>
      <c r="D148" s="2"/>
      <c r="E148" s="2"/>
      <c r="F148" s="312"/>
      <c r="G148" s="312"/>
      <c r="H148" s="312"/>
      <c r="I148" s="537"/>
      <c r="J148" s="537"/>
    </row>
    <row r="149" spans="3:10">
      <c r="C149" s="312" t="s">
        <v>411</v>
      </c>
      <c r="D149" s="312"/>
      <c r="E149" s="312"/>
      <c r="F149" s="312"/>
      <c r="G149" s="312"/>
      <c r="H149" s="312"/>
      <c r="I149" s="537" t="s">
        <v>14</v>
      </c>
      <c r="J149" s="537" t="s">
        <v>14</v>
      </c>
    </row>
    <row r="150" spans="3:10">
      <c r="C150" s="312" t="s">
        <v>412</v>
      </c>
      <c r="D150" s="312"/>
      <c r="E150" s="312"/>
      <c r="F150" s="312"/>
      <c r="G150" s="312"/>
      <c r="H150" s="312"/>
      <c r="I150" s="537" t="s">
        <v>14</v>
      </c>
      <c r="J150" s="537" t="s">
        <v>14</v>
      </c>
    </row>
    <row r="151" spans="3:10">
      <c r="C151" s="312" t="s">
        <v>413</v>
      </c>
      <c r="D151" s="312"/>
      <c r="E151" s="312"/>
      <c r="F151" s="312"/>
      <c r="G151" s="312"/>
      <c r="H151" s="312"/>
      <c r="I151" s="537" t="s">
        <v>14</v>
      </c>
      <c r="J151" s="537" t="s">
        <v>14</v>
      </c>
    </row>
    <row r="152" spans="3:10">
      <c r="C152" s="312" t="s">
        <v>414</v>
      </c>
      <c r="D152" s="312"/>
      <c r="E152" s="312"/>
      <c r="F152" s="312"/>
      <c r="G152" s="312"/>
      <c r="H152" s="312"/>
      <c r="I152" s="537" t="s">
        <v>14</v>
      </c>
      <c r="J152" s="537" t="s">
        <v>14</v>
      </c>
    </row>
    <row r="153" spans="3:10">
      <c r="C153" s="312" t="s">
        <v>415</v>
      </c>
      <c r="D153" s="312"/>
      <c r="E153" s="312"/>
      <c r="F153" s="312"/>
      <c r="G153" s="312"/>
      <c r="H153" s="312"/>
      <c r="I153" s="537" t="s">
        <v>14</v>
      </c>
      <c r="J153" s="537" t="s">
        <v>14</v>
      </c>
    </row>
    <row r="154" spans="3:10">
      <c r="C154" s="2" t="s">
        <v>416</v>
      </c>
      <c r="D154" s="2"/>
      <c r="E154" s="2"/>
      <c r="F154" s="312"/>
      <c r="G154" s="312"/>
      <c r="H154" s="312"/>
      <c r="I154" s="537"/>
      <c r="J154" s="537"/>
    </row>
    <row r="155" spans="3:10">
      <c r="C155" s="312" t="s">
        <v>417</v>
      </c>
      <c r="D155" s="312"/>
      <c r="E155" s="312"/>
      <c r="F155" s="312"/>
      <c r="G155" s="312"/>
      <c r="H155" s="312"/>
      <c r="I155" s="537" t="s">
        <v>14</v>
      </c>
      <c r="J155" s="537" t="s">
        <v>14</v>
      </c>
    </row>
    <row r="156" spans="3:10">
      <c r="C156" s="312" t="s">
        <v>418</v>
      </c>
      <c r="D156" s="312"/>
      <c r="E156" s="312"/>
      <c r="F156" s="312"/>
      <c r="G156" s="312"/>
      <c r="H156" s="312"/>
      <c r="I156" s="537"/>
      <c r="J156" s="537"/>
    </row>
    <row r="157" spans="3:10">
      <c r="C157" s="315" t="s">
        <v>419</v>
      </c>
      <c r="D157" s="315"/>
      <c r="E157" s="315"/>
      <c r="F157" s="315"/>
      <c r="G157" s="315"/>
      <c r="H157" s="315"/>
      <c r="I157" s="537" t="s">
        <v>14</v>
      </c>
      <c r="J157" s="537" t="s">
        <v>14</v>
      </c>
    </row>
    <row r="158" spans="3:10">
      <c r="C158" s="315" t="s">
        <v>420</v>
      </c>
      <c r="D158" s="315"/>
      <c r="E158" s="315"/>
      <c r="F158" s="315"/>
      <c r="G158" s="315"/>
      <c r="H158" s="315"/>
      <c r="I158" s="537" t="s">
        <v>14</v>
      </c>
      <c r="J158" s="537" t="s">
        <v>14</v>
      </c>
    </row>
    <row r="159" spans="3:10">
      <c r="C159" s="315" t="s">
        <v>421</v>
      </c>
      <c r="D159" s="315"/>
      <c r="E159" s="315"/>
      <c r="F159" s="315"/>
      <c r="G159" s="315"/>
      <c r="H159" s="315"/>
      <c r="I159" s="537" t="s">
        <v>14</v>
      </c>
      <c r="J159" s="537" t="s">
        <v>14</v>
      </c>
    </row>
    <row r="160" spans="3:10">
      <c r="C160" s="312" t="s">
        <v>422</v>
      </c>
      <c r="D160" s="312"/>
      <c r="E160" s="312"/>
      <c r="F160" s="312"/>
      <c r="G160" s="312"/>
      <c r="H160" s="312"/>
      <c r="I160" s="537" t="s">
        <v>14</v>
      </c>
      <c r="J160" s="537" t="s">
        <v>14</v>
      </c>
    </row>
    <row r="161" spans="3:10">
      <c r="C161" s="312" t="s">
        <v>423</v>
      </c>
      <c r="D161" s="312"/>
      <c r="E161" s="312"/>
      <c r="F161" s="312"/>
      <c r="G161" s="312"/>
      <c r="H161" s="312"/>
      <c r="I161" s="537" t="s">
        <v>14</v>
      </c>
      <c r="J161" s="537" t="s">
        <v>14</v>
      </c>
    </row>
    <row r="162" spans="3:10">
      <c r="C162" s="2" t="s">
        <v>424</v>
      </c>
      <c r="D162" s="2"/>
      <c r="E162" s="2"/>
      <c r="F162" s="312"/>
      <c r="G162" s="312"/>
      <c r="H162" s="312"/>
      <c r="I162" s="537"/>
      <c r="J162" s="537"/>
    </row>
    <row r="163" spans="3:10">
      <c r="C163" s="312" t="s">
        <v>425</v>
      </c>
      <c r="D163" s="312"/>
      <c r="E163" s="312"/>
      <c r="F163" s="312"/>
      <c r="G163" s="312"/>
      <c r="H163" s="312"/>
      <c r="I163" s="537">
        <v>41061</v>
      </c>
      <c r="J163" s="537">
        <v>41061</v>
      </c>
    </row>
    <row r="164" spans="3:10">
      <c r="C164" s="312" t="s">
        <v>426</v>
      </c>
      <c r="D164" s="312"/>
      <c r="E164" s="312"/>
      <c r="F164" s="312"/>
      <c r="G164" s="312"/>
      <c r="H164" s="312"/>
      <c r="I164" s="537">
        <v>41061</v>
      </c>
      <c r="J164" s="537">
        <v>41061</v>
      </c>
    </row>
    <row r="165" spans="3:10">
      <c r="C165" s="315" t="s">
        <v>427</v>
      </c>
      <c r="D165" s="315"/>
      <c r="E165" s="315"/>
      <c r="F165" s="315"/>
      <c r="G165" s="315"/>
      <c r="H165" s="315"/>
      <c r="I165" s="537">
        <v>41061</v>
      </c>
      <c r="J165" s="537">
        <v>41061</v>
      </c>
    </row>
    <row r="166" spans="3:10">
      <c r="C166" s="315" t="s">
        <v>428</v>
      </c>
      <c r="D166" s="315"/>
      <c r="E166" s="315"/>
      <c r="F166" s="315"/>
      <c r="G166" s="315"/>
      <c r="H166" s="315"/>
      <c r="I166" s="537">
        <v>41061</v>
      </c>
      <c r="J166" s="537">
        <v>41061</v>
      </c>
    </row>
    <row r="167" spans="3:10">
      <c r="C167" s="312" t="s">
        <v>429</v>
      </c>
      <c r="D167" s="312"/>
      <c r="E167" s="312"/>
      <c r="F167" s="312"/>
      <c r="G167" s="312"/>
      <c r="H167" s="312"/>
      <c r="I167" s="537"/>
      <c r="J167" s="537"/>
    </row>
    <row r="168" spans="3:10">
      <c r="C168" s="315" t="s">
        <v>427</v>
      </c>
      <c r="D168" s="315"/>
      <c r="E168" s="315"/>
      <c r="F168" s="315"/>
      <c r="G168" s="315"/>
      <c r="H168" s="315"/>
      <c r="I168" s="537" t="s">
        <v>14</v>
      </c>
      <c r="J168" s="537" t="s">
        <v>14</v>
      </c>
    </row>
    <row r="169" spans="3:10">
      <c r="C169" s="315" t="s">
        <v>428</v>
      </c>
      <c r="D169" s="315"/>
      <c r="E169" s="315"/>
      <c r="F169" s="315"/>
      <c r="G169" s="315"/>
      <c r="H169" s="315"/>
      <c r="I169" s="537" t="s">
        <v>14</v>
      </c>
      <c r="J169" s="537" t="s">
        <v>14</v>
      </c>
    </row>
    <row r="170" spans="3:10">
      <c r="C170" s="312" t="s">
        <v>430</v>
      </c>
      <c r="D170" s="312"/>
      <c r="E170" s="312"/>
      <c r="F170" s="312"/>
      <c r="G170" s="312"/>
      <c r="H170" s="312"/>
      <c r="I170" s="537"/>
      <c r="J170" s="537"/>
    </row>
    <row r="171" spans="3:10">
      <c r="C171" s="315" t="s">
        <v>427</v>
      </c>
      <c r="D171" s="315"/>
      <c r="E171" s="315"/>
      <c r="F171" s="315"/>
      <c r="G171" s="315"/>
      <c r="H171" s="315"/>
      <c r="I171" s="537" t="s">
        <v>14</v>
      </c>
      <c r="J171" s="537" t="s">
        <v>14</v>
      </c>
    </row>
    <row r="172" spans="3:10">
      <c r="C172" s="315" t="s">
        <v>428</v>
      </c>
      <c r="D172" s="315"/>
      <c r="E172" s="315"/>
      <c r="F172" s="315"/>
      <c r="G172" s="315"/>
      <c r="H172" s="315"/>
      <c r="I172" s="537" t="s">
        <v>14</v>
      </c>
      <c r="J172" s="537" t="s">
        <v>14</v>
      </c>
    </row>
    <row r="173" spans="3:10">
      <c r="C173" s="312" t="s">
        <v>431</v>
      </c>
      <c r="D173" s="312"/>
      <c r="E173" s="312"/>
      <c r="F173" s="312"/>
      <c r="G173" s="312"/>
      <c r="H173" s="312"/>
      <c r="I173" s="537"/>
      <c r="J173" s="537"/>
    </row>
    <row r="174" spans="3:10">
      <c r="C174" s="315" t="s">
        <v>432</v>
      </c>
      <c r="D174" s="315"/>
      <c r="E174" s="315"/>
      <c r="F174" s="315"/>
      <c r="G174" s="315"/>
      <c r="H174" s="315"/>
      <c r="I174" s="537" t="s">
        <v>67</v>
      </c>
      <c r="J174" s="537" t="s">
        <v>67</v>
      </c>
    </row>
    <row r="175" spans="3:10">
      <c r="C175" s="315" t="s">
        <v>433</v>
      </c>
      <c r="D175" s="315"/>
      <c r="E175" s="315"/>
      <c r="F175" s="315"/>
      <c r="G175" s="315"/>
      <c r="H175" s="315"/>
      <c r="I175" s="537" t="s">
        <v>67</v>
      </c>
      <c r="J175" s="537" t="s">
        <v>67</v>
      </c>
    </row>
    <row r="176" spans="3:10">
      <c r="C176" s="315" t="s">
        <v>434</v>
      </c>
      <c r="D176" s="315"/>
      <c r="E176" s="315"/>
      <c r="F176" s="315"/>
      <c r="G176" s="315"/>
      <c r="H176" s="315"/>
      <c r="I176" s="537" t="s">
        <v>67</v>
      </c>
      <c r="J176" s="537" t="s">
        <v>67</v>
      </c>
    </row>
    <row r="177" spans="3:10">
      <c r="C177" s="315" t="s">
        <v>435</v>
      </c>
      <c r="D177" s="315"/>
      <c r="E177" s="315"/>
      <c r="F177" s="315"/>
      <c r="G177" s="315"/>
      <c r="H177" s="315"/>
      <c r="I177" s="537" t="s">
        <v>67</v>
      </c>
      <c r="J177" s="537" t="s">
        <v>67</v>
      </c>
    </row>
    <row r="178" spans="3:10">
      <c r="C178" s="310" t="s">
        <v>422</v>
      </c>
      <c r="D178" s="310"/>
      <c r="E178" s="310"/>
      <c r="F178" s="312"/>
      <c r="G178" s="312"/>
      <c r="H178" s="312"/>
      <c r="I178" s="537"/>
      <c r="J178" s="537"/>
    </row>
    <row r="179" spans="3:10">
      <c r="C179" s="312" t="s">
        <v>436</v>
      </c>
      <c r="D179" s="312"/>
      <c r="E179" s="312"/>
      <c r="F179" s="312"/>
      <c r="G179" s="312"/>
      <c r="H179" s="312"/>
      <c r="I179" s="537" t="s">
        <v>14</v>
      </c>
      <c r="J179" s="537" t="s">
        <v>14</v>
      </c>
    </row>
    <row r="180" spans="3:10">
      <c r="C180" s="312" t="s">
        <v>437</v>
      </c>
      <c r="D180" s="312"/>
      <c r="E180" s="312"/>
      <c r="F180" s="312"/>
      <c r="G180" s="312"/>
      <c r="H180" s="312"/>
      <c r="I180" s="537" t="s">
        <v>14</v>
      </c>
      <c r="J180" s="537" t="s">
        <v>14</v>
      </c>
    </row>
    <row r="181" spans="3:10">
      <c r="C181" s="312" t="s">
        <v>438</v>
      </c>
      <c r="D181" s="312"/>
      <c r="E181" s="312"/>
      <c r="F181" s="312"/>
      <c r="G181" s="312"/>
      <c r="H181" s="312"/>
      <c r="I181" s="537" t="s">
        <v>14</v>
      </c>
      <c r="J181" s="537" t="s">
        <v>14</v>
      </c>
    </row>
    <row r="182" spans="3:10">
      <c r="C182" s="312" t="s">
        <v>439</v>
      </c>
      <c r="D182" s="312"/>
      <c r="E182" s="312"/>
      <c r="F182" s="312"/>
      <c r="G182" s="312"/>
      <c r="H182" s="312"/>
      <c r="I182" s="537" t="s">
        <v>14</v>
      </c>
      <c r="J182" s="537" t="s">
        <v>14</v>
      </c>
    </row>
    <row r="183" spans="3:10">
      <c r="C183" s="310" t="s">
        <v>440</v>
      </c>
      <c r="D183" s="310"/>
      <c r="E183" s="310"/>
      <c r="F183" s="312"/>
      <c r="G183" s="312"/>
      <c r="H183" s="312"/>
      <c r="I183" s="537" t="s">
        <v>14</v>
      </c>
      <c r="J183" s="537" t="s">
        <v>14</v>
      </c>
    </row>
    <row r="184" spans="3:10">
      <c r="C184" s="310" t="s">
        <v>441</v>
      </c>
      <c r="D184" s="310"/>
      <c r="E184" s="310"/>
      <c r="F184" s="312"/>
      <c r="G184" s="312"/>
      <c r="H184" s="312"/>
      <c r="I184" s="537" t="s">
        <v>14</v>
      </c>
      <c r="J184" s="537" t="s">
        <v>14</v>
      </c>
    </row>
    <row r="185" spans="3:10">
      <c r="C185" s="310" t="s">
        <v>442</v>
      </c>
      <c r="D185" s="310"/>
      <c r="E185" s="310"/>
      <c r="F185" s="312"/>
      <c r="G185" s="312"/>
      <c r="H185" s="312"/>
      <c r="I185" s="537" t="s">
        <v>14</v>
      </c>
      <c r="J185" s="537" t="s">
        <v>14</v>
      </c>
    </row>
    <row r="186" spans="3:10">
      <c r="C186" s="310" t="s">
        <v>443</v>
      </c>
      <c r="D186" s="310"/>
      <c r="E186" s="310"/>
      <c r="F186" s="312"/>
      <c r="G186" s="312"/>
      <c r="H186" s="312"/>
      <c r="I186" s="537" t="s">
        <v>14</v>
      </c>
      <c r="J186" s="537" t="s">
        <v>14</v>
      </c>
    </row>
    <row r="187" spans="3:10">
      <c r="C187" s="310" t="s">
        <v>444</v>
      </c>
      <c r="D187" s="310"/>
      <c r="E187" s="310"/>
      <c r="F187" s="312"/>
      <c r="G187" s="312"/>
      <c r="H187" s="312"/>
      <c r="I187" s="537"/>
      <c r="J187" s="537"/>
    </row>
    <row r="188" spans="3:10">
      <c r="C188" s="312" t="s">
        <v>445</v>
      </c>
      <c r="D188" s="312"/>
      <c r="E188" s="312"/>
      <c r="F188" s="312"/>
      <c r="G188" s="312"/>
      <c r="H188" s="312"/>
      <c r="I188" s="537" t="s">
        <v>14</v>
      </c>
      <c r="J188" s="537" t="s">
        <v>14</v>
      </c>
    </row>
    <row r="189" spans="3:10">
      <c r="C189" s="315" t="s">
        <v>446</v>
      </c>
      <c r="D189" s="315"/>
      <c r="E189" s="315"/>
      <c r="F189" s="315"/>
      <c r="G189" s="315"/>
      <c r="H189" s="315"/>
      <c r="I189" s="537" t="s">
        <v>14</v>
      </c>
      <c r="J189" s="537" t="s">
        <v>14</v>
      </c>
    </row>
    <row r="190" spans="3:10">
      <c r="C190" s="315" t="s">
        <v>447</v>
      </c>
      <c r="D190" s="315"/>
      <c r="E190" s="315"/>
      <c r="F190" s="315"/>
      <c r="G190" s="315"/>
      <c r="H190" s="315"/>
      <c r="I190" s="537" t="s">
        <v>14</v>
      </c>
      <c r="J190" s="537" t="s">
        <v>14</v>
      </c>
    </row>
    <row r="191" spans="3:10">
      <c r="C191" s="315" t="s">
        <v>448</v>
      </c>
      <c r="D191" s="315"/>
      <c r="E191" s="315"/>
      <c r="F191" s="315"/>
      <c r="G191" s="315"/>
      <c r="H191" s="315"/>
      <c r="I191" s="537" t="s">
        <v>14</v>
      </c>
      <c r="J191" s="537" t="s">
        <v>14</v>
      </c>
    </row>
    <row r="192" spans="3:10">
      <c r="C192" s="312" t="s">
        <v>449</v>
      </c>
      <c r="D192" s="312"/>
      <c r="E192" s="312"/>
      <c r="F192" s="312"/>
      <c r="G192" s="312"/>
      <c r="H192" s="312"/>
      <c r="I192" s="537" t="s">
        <v>14</v>
      </c>
      <c r="J192" s="537" t="s">
        <v>14</v>
      </c>
    </row>
    <row r="193" spans="2:10">
      <c r="C193" s="312" t="s">
        <v>450</v>
      </c>
      <c r="D193" s="312"/>
      <c r="E193" s="312"/>
      <c r="F193" s="312"/>
      <c r="G193" s="312"/>
      <c r="H193" s="312"/>
      <c r="I193" s="537" t="s">
        <v>14</v>
      </c>
      <c r="J193" s="537" t="s">
        <v>14</v>
      </c>
    </row>
    <row r="194" spans="2:10">
      <c r="C194" s="315" t="s">
        <v>451</v>
      </c>
      <c r="D194" s="315"/>
      <c r="E194" s="315"/>
      <c r="F194" s="315"/>
      <c r="G194" s="315"/>
      <c r="H194" s="315"/>
      <c r="I194" s="537" t="s">
        <v>14</v>
      </c>
      <c r="J194" s="537" t="s">
        <v>14</v>
      </c>
    </row>
    <row r="195" spans="2:10">
      <c r="C195" s="315" t="s">
        <v>452</v>
      </c>
      <c r="D195" s="315"/>
      <c r="E195" s="315"/>
      <c r="F195" s="315"/>
      <c r="G195" s="315"/>
      <c r="H195" s="315"/>
      <c r="I195" s="537" t="s">
        <v>14</v>
      </c>
      <c r="J195" s="537" t="s">
        <v>14</v>
      </c>
    </row>
    <row r="196" spans="2:10">
      <c r="C196" s="350" t="s">
        <v>529</v>
      </c>
      <c r="D196" s="2"/>
      <c r="E196" s="2"/>
      <c r="F196" s="312"/>
      <c r="G196" s="312"/>
      <c r="H196" s="312"/>
      <c r="I196" s="537" t="s">
        <v>14</v>
      </c>
      <c r="J196" s="537" t="s">
        <v>14</v>
      </c>
    </row>
    <row r="197" spans="2:10">
      <c r="C197" s="2"/>
      <c r="D197" s="2"/>
      <c r="E197" s="2"/>
      <c r="F197" s="312"/>
      <c r="G197" s="312"/>
      <c r="H197" s="312"/>
      <c r="I197" s="537"/>
      <c r="J197" s="537"/>
    </row>
    <row r="198" spans="2:10">
      <c r="B198" s="12" t="s">
        <v>518</v>
      </c>
      <c r="C198" s="2"/>
      <c r="D198" s="2"/>
      <c r="E198" s="2"/>
      <c r="F198" s="312"/>
      <c r="G198" s="312"/>
      <c r="H198" s="312"/>
      <c r="I198" s="537" t="s">
        <v>14</v>
      </c>
      <c r="J198" s="537" t="s">
        <v>14</v>
      </c>
    </row>
    <row r="199" spans="2:10">
      <c r="B199" s="301"/>
      <c r="C199" s="2"/>
      <c r="D199" s="2"/>
      <c r="E199" s="2"/>
      <c r="F199" s="312"/>
      <c r="G199" s="312"/>
      <c r="H199" s="312"/>
      <c r="I199" s="537"/>
      <c r="J199" s="537"/>
    </row>
    <row r="200" spans="2:10">
      <c r="B200" s="308" t="s">
        <v>453</v>
      </c>
      <c r="C200" s="308"/>
      <c r="D200" s="308"/>
      <c r="E200" s="308"/>
      <c r="F200" s="313"/>
      <c r="G200" s="313"/>
      <c r="H200" s="313"/>
      <c r="I200" s="537" t="s">
        <v>14</v>
      </c>
      <c r="J200" s="537" t="s">
        <v>14</v>
      </c>
    </row>
    <row r="201" spans="2:10">
      <c r="C201" s="12" t="s">
        <v>454</v>
      </c>
      <c r="D201" s="12"/>
      <c r="E201" s="12"/>
      <c r="F201" s="313"/>
      <c r="G201" s="313"/>
      <c r="H201" s="313"/>
      <c r="I201" s="537" t="s">
        <v>14</v>
      </c>
      <c r="J201" s="537" t="s">
        <v>14</v>
      </c>
    </row>
    <row r="202" spans="2:10">
      <c r="C202" s="2"/>
      <c r="D202" s="2"/>
      <c r="E202" s="2"/>
      <c r="F202" s="312"/>
      <c r="G202" s="312"/>
      <c r="H202" s="312"/>
      <c r="I202" s="537"/>
      <c r="J202" s="537"/>
    </row>
    <row r="203" spans="2:10">
      <c r="B203" s="12" t="s">
        <v>455</v>
      </c>
      <c r="C203" s="2"/>
      <c r="D203" s="2"/>
      <c r="E203" s="2"/>
      <c r="F203" s="312"/>
      <c r="G203" s="312"/>
      <c r="H203" s="312"/>
      <c r="I203" s="537" t="s">
        <v>14</v>
      </c>
      <c r="J203" s="537" t="s">
        <v>14</v>
      </c>
    </row>
    <row r="204" spans="2:10">
      <c r="B204" s="2"/>
      <c r="C204" s="2"/>
      <c r="D204" s="2"/>
      <c r="E204" s="2"/>
      <c r="F204" s="312"/>
      <c r="G204" s="312"/>
      <c r="H204" s="312"/>
      <c r="I204" s="537"/>
      <c r="J204" s="537"/>
    </row>
    <row r="205" spans="2:10">
      <c r="B205" s="308" t="s">
        <v>456</v>
      </c>
      <c r="C205" s="2"/>
      <c r="D205" s="2"/>
      <c r="E205" s="2"/>
      <c r="F205" s="312"/>
      <c r="G205" s="312"/>
      <c r="H205" s="312"/>
      <c r="I205" s="537"/>
      <c r="J205" s="537"/>
    </row>
    <row r="206" spans="2:10">
      <c r="C206" s="2" t="s">
        <v>457</v>
      </c>
      <c r="D206" s="2"/>
      <c r="E206" s="2"/>
      <c r="F206" s="312"/>
      <c r="G206" s="312"/>
      <c r="H206" s="312"/>
      <c r="I206" s="537" t="s">
        <v>14</v>
      </c>
      <c r="J206" s="537" t="s">
        <v>14</v>
      </c>
    </row>
    <row r="207" spans="2:10">
      <c r="C207" s="2" t="s">
        <v>458</v>
      </c>
      <c r="D207" s="2"/>
      <c r="E207" s="2"/>
      <c r="F207" s="312"/>
      <c r="G207" s="312"/>
      <c r="H207" s="312"/>
      <c r="I207" s="537" t="s">
        <v>14</v>
      </c>
      <c r="J207" s="537" t="s">
        <v>14</v>
      </c>
    </row>
    <row r="208" spans="2:10">
      <c r="C208" s="312" t="s">
        <v>459</v>
      </c>
      <c r="D208" s="312"/>
      <c r="E208" s="312"/>
      <c r="F208" s="312"/>
      <c r="G208" s="312"/>
      <c r="H208" s="312"/>
      <c r="I208" s="537" t="s">
        <v>14</v>
      </c>
      <c r="J208" s="537" t="s">
        <v>14</v>
      </c>
    </row>
    <row r="209" spans="2:10">
      <c r="C209" s="312" t="s">
        <v>460</v>
      </c>
      <c r="D209" s="312"/>
      <c r="E209" s="312"/>
      <c r="F209" s="312"/>
      <c r="G209" s="312"/>
      <c r="H209" s="312"/>
      <c r="I209" s="537" t="s">
        <v>14</v>
      </c>
      <c r="J209" s="537" t="s">
        <v>14</v>
      </c>
    </row>
    <row r="210" spans="2:10">
      <c r="C210" s="312" t="s">
        <v>461</v>
      </c>
      <c r="D210" s="312"/>
      <c r="E210" s="312"/>
      <c r="F210" s="312"/>
      <c r="G210" s="312"/>
      <c r="H210" s="312"/>
      <c r="I210" s="537" t="s">
        <v>14</v>
      </c>
      <c r="J210" s="537" t="s">
        <v>14</v>
      </c>
    </row>
    <row r="211" spans="2:10">
      <c r="C211" s="315" t="s">
        <v>462</v>
      </c>
      <c r="D211" s="315"/>
      <c r="E211" s="315"/>
      <c r="F211" s="315"/>
      <c r="G211" s="315"/>
      <c r="H211" s="315"/>
      <c r="I211" s="537" t="s">
        <v>14</v>
      </c>
      <c r="J211" s="537" t="s">
        <v>14</v>
      </c>
    </row>
    <row r="212" spans="2:10">
      <c r="C212" s="315" t="s">
        <v>463</v>
      </c>
      <c r="D212" s="315"/>
      <c r="E212" s="315"/>
      <c r="F212" s="315"/>
      <c r="G212" s="315"/>
      <c r="H212" s="315"/>
      <c r="I212" s="537" t="s">
        <v>14</v>
      </c>
      <c r="J212" s="537" t="s">
        <v>14</v>
      </c>
    </row>
    <row r="213" spans="2:10">
      <c r="C213" s="315" t="s">
        <v>464</v>
      </c>
      <c r="D213" s="315"/>
      <c r="E213" s="315"/>
      <c r="F213" s="315"/>
      <c r="G213" s="315"/>
      <c r="H213" s="315"/>
      <c r="I213" s="537" t="s">
        <v>14</v>
      </c>
      <c r="J213" s="537" t="s">
        <v>14</v>
      </c>
    </row>
    <row r="214" spans="2:10">
      <c r="C214" s="315" t="s">
        <v>465</v>
      </c>
      <c r="D214" s="315"/>
      <c r="E214" s="315"/>
      <c r="F214" s="315"/>
      <c r="G214" s="315"/>
      <c r="H214" s="315"/>
      <c r="I214" s="537" t="s">
        <v>14</v>
      </c>
      <c r="J214" s="537" t="s">
        <v>14</v>
      </c>
    </row>
    <row r="215" spans="2:10">
      <c r="C215" s="315" t="s">
        <v>390</v>
      </c>
      <c r="D215" s="315"/>
      <c r="E215" s="315"/>
      <c r="F215" s="315"/>
      <c r="G215" s="315"/>
      <c r="H215" s="315"/>
      <c r="I215" s="537" t="s">
        <v>14</v>
      </c>
      <c r="J215" s="537" t="s">
        <v>14</v>
      </c>
    </row>
    <row r="216" spans="2:10">
      <c r="B216" s="312" t="s">
        <v>513</v>
      </c>
      <c r="C216" s="312" t="s">
        <v>466</v>
      </c>
      <c r="D216" s="312"/>
      <c r="E216" s="312"/>
      <c r="F216" s="312"/>
      <c r="G216" s="312"/>
      <c r="H216" s="312"/>
      <c r="I216" s="537" t="s">
        <v>14</v>
      </c>
      <c r="J216" s="537" t="s">
        <v>14</v>
      </c>
    </row>
    <row r="217" spans="2:10">
      <c r="C217" s="2" t="s">
        <v>345</v>
      </c>
      <c r="D217" s="2"/>
      <c r="E217" s="2"/>
      <c r="F217" s="312"/>
      <c r="G217" s="312"/>
      <c r="H217" s="312"/>
      <c r="I217" s="537"/>
      <c r="J217" s="537"/>
    </row>
    <row r="218" spans="2:10">
      <c r="C218" s="312" t="s">
        <v>467</v>
      </c>
      <c r="D218" s="312"/>
      <c r="E218" s="312"/>
      <c r="F218" s="312"/>
      <c r="G218" s="312"/>
      <c r="H218" s="312"/>
      <c r="I218" s="537" t="s">
        <v>14</v>
      </c>
      <c r="J218" s="537" t="s">
        <v>14</v>
      </c>
    </row>
    <row r="219" spans="2:10">
      <c r="C219" s="312" t="s">
        <v>468</v>
      </c>
      <c r="D219" s="312"/>
      <c r="E219" s="312"/>
      <c r="F219" s="312"/>
      <c r="G219" s="312"/>
      <c r="H219" s="312"/>
      <c r="I219" s="537" t="s">
        <v>14</v>
      </c>
      <c r="J219" s="537" t="s">
        <v>14</v>
      </c>
    </row>
    <row r="220" spans="2:10">
      <c r="C220" s="312" t="s">
        <v>469</v>
      </c>
      <c r="D220" s="312"/>
      <c r="E220" s="312"/>
      <c r="F220" s="312"/>
      <c r="G220" s="312"/>
      <c r="H220" s="312"/>
      <c r="I220" s="537" t="s">
        <v>14</v>
      </c>
      <c r="J220" s="537" t="s">
        <v>14</v>
      </c>
    </row>
    <row r="221" spans="2:10">
      <c r="C221" s="312" t="s">
        <v>470</v>
      </c>
      <c r="D221" s="312"/>
      <c r="E221" s="312"/>
      <c r="F221" s="312"/>
      <c r="G221" s="312"/>
      <c r="H221" s="312"/>
      <c r="I221" s="537" t="s">
        <v>14</v>
      </c>
      <c r="J221" s="537" t="s">
        <v>14</v>
      </c>
    </row>
    <row r="222" spans="2:10">
      <c r="C222" s="312" t="s">
        <v>116</v>
      </c>
      <c r="D222" s="312"/>
      <c r="E222" s="312"/>
      <c r="F222" s="312"/>
      <c r="G222" s="312"/>
      <c r="H222" s="312"/>
      <c r="I222" s="537" t="s">
        <v>14</v>
      </c>
      <c r="J222" s="537" t="s">
        <v>14</v>
      </c>
    </row>
    <row r="223" spans="2:10">
      <c r="C223" s="301"/>
      <c r="D223" s="301"/>
      <c r="E223" s="301"/>
      <c r="F223" s="312"/>
      <c r="G223" s="312"/>
      <c r="H223" s="312"/>
      <c r="I223" s="537"/>
      <c r="J223" s="537"/>
    </row>
    <row r="224" spans="2:10">
      <c r="B224" s="308" t="s">
        <v>471</v>
      </c>
      <c r="C224" s="2"/>
      <c r="D224" s="2"/>
      <c r="E224" s="2"/>
      <c r="F224" s="312"/>
      <c r="G224" s="312"/>
      <c r="H224" s="312"/>
      <c r="I224" s="537"/>
      <c r="J224" s="537"/>
    </row>
    <row r="225" spans="2:10">
      <c r="C225" s="308" t="s">
        <v>472</v>
      </c>
      <c r="D225" s="2"/>
      <c r="E225" s="2"/>
      <c r="F225" s="312"/>
      <c r="G225" s="312"/>
      <c r="H225" s="312"/>
      <c r="I225" s="537">
        <v>41609</v>
      </c>
      <c r="J225" s="537">
        <v>41609</v>
      </c>
    </row>
    <row r="226" spans="2:10">
      <c r="C226" s="2"/>
      <c r="D226" s="2"/>
      <c r="E226" s="2"/>
      <c r="F226" s="312"/>
      <c r="G226" s="312"/>
      <c r="H226" s="312"/>
      <c r="I226" s="537"/>
      <c r="J226" s="537"/>
    </row>
    <row r="227" spans="2:10">
      <c r="B227" s="308" t="s">
        <v>473</v>
      </c>
      <c r="C227" s="2"/>
      <c r="D227" s="2"/>
      <c r="E227" s="2"/>
      <c r="F227" s="312"/>
      <c r="G227" s="312"/>
      <c r="H227" s="312"/>
      <c r="I227" s="537"/>
      <c r="J227" s="537"/>
    </row>
    <row r="228" spans="2:10">
      <c r="C228" s="2" t="s">
        <v>474</v>
      </c>
      <c r="D228" s="2"/>
      <c r="E228" s="2"/>
      <c r="F228" s="312"/>
      <c r="G228" s="312"/>
      <c r="H228" s="312"/>
      <c r="I228" s="537"/>
      <c r="J228" s="537"/>
    </row>
    <row r="229" spans="2:10">
      <c r="C229" s="312" t="s">
        <v>475</v>
      </c>
      <c r="D229" s="312"/>
      <c r="E229" s="312"/>
      <c r="F229" s="312"/>
      <c r="G229" s="312"/>
      <c r="H229" s="312"/>
      <c r="I229" s="537" t="s">
        <v>14</v>
      </c>
      <c r="J229" s="537" t="s">
        <v>14</v>
      </c>
    </row>
    <row r="230" spans="2:10">
      <c r="C230" s="312" t="s">
        <v>476</v>
      </c>
      <c r="D230" s="312"/>
      <c r="E230" s="312"/>
      <c r="F230" s="312"/>
      <c r="G230" s="312"/>
      <c r="H230" s="312"/>
      <c r="I230" s="537" t="s">
        <v>14</v>
      </c>
      <c r="J230" s="537" t="s">
        <v>14</v>
      </c>
    </row>
    <row r="231" spans="2:10">
      <c r="C231" s="312" t="s">
        <v>477</v>
      </c>
      <c r="D231" s="312"/>
      <c r="E231" s="312"/>
      <c r="F231" s="312"/>
      <c r="G231" s="312"/>
      <c r="H231" s="312"/>
      <c r="I231" s="537" t="s">
        <v>14</v>
      </c>
      <c r="J231" s="537" t="s">
        <v>14</v>
      </c>
    </row>
    <row r="232" spans="2:10">
      <c r="C232" s="350" t="s">
        <v>530</v>
      </c>
      <c r="D232" s="312"/>
      <c r="E232" s="312"/>
      <c r="F232" s="312"/>
      <c r="G232" s="312"/>
      <c r="H232" s="312"/>
      <c r="I232" s="537" t="s">
        <v>14</v>
      </c>
      <c r="J232" s="537" t="s">
        <v>14</v>
      </c>
    </row>
    <row r="233" spans="2:10">
      <c r="C233" s="2"/>
      <c r="D233" s="2"/>
      <c r="E233" s="2"/>
      <c r="F233" s="312"/>
      <c r="G233" s="312"/>
      <c r="H233" s="312"/>
      <c r="I233" s="537"/>
      <c r="J233" s="537"/>
    </row>
    <row r="234" spans="2:10">
      <c r="B234" s="308" t="s">
        <v>478</v>
      </c>
      <c r="C234" s="2"/>
      <c r="D234" s="2"/>
      <c r="E234" s="2"/>
      <c r="F234" s="312"/>
      <c r="G234" s="312"/>
      <c r="H234" s="312"/>
      <c r="I234" s="537"/>
      <c r="J234" s="537"/>
    </row>
    <row r="235" spans="2:10">
      <c r="C235" s="308" t="s">
        <v>479</v>
      </c>
      <c r="D235" s="2"/>
      <c r="E235" s="2"/>
      <c r="F235" s="312"/>
      <c r="G235" s="312"/>
      <c r="H235" s="312"/>
      <c r="I235" s="537" t="s">
        <v>14</v>
      </c>
      <c r="J235" s="537" t="s">
        <v>14</v>
      </c>
    </row>
    <row r="236" spans="2:10">
      <c r="C236" s="308" t="s">
        <v>480</v>
      </c>
      <c r="D236" s="2"/>
      <c r="E236" s="2"/>
      <c r="F236" s="312"/>
      <c r="G236" s="312"/>
      <c r="H236" s="312"/>
      <c r="I236" s="537" t="s">
        <v>14</v>
      </c>
      <c r="J236" s="537" t="s">
        <v>14</v>
      </c>
    </row>
    <row r="237" spans="2:10">
      <c r="C237" s="2" t="s">
        <v>481</v>
      </c>
      <c r="D237" s="2"/>
      <c r="E237" s="2"/>
      <c r="F237" s="312"/>
      <c r="G237" s="312"/>
      <c r="H237" s="312"/>
      <c r="I237" s="537" t="s">
        <v>14</v>
      </c>
      <c r="J237" s="537" t="s">
        <v>14</v>
      </c>
    </row>
    <row r="238" spans="2:10">
      <c r="C238" s="2" t="s">
        <v>482</v>
      </c>
      <c r="D238" s="2"/>
      <c r="E238" s="2"/>
      <c r="F238" s="312"/>
      <c r="G238" s="312"/>
      <c r="H238" s="312"/>
      <c r="I238" s="537" t="s">
        <v>14</v>
      </c>
      <c r="J238" s="537" t="s">
        <v>14</v>
      </c>
    </row>
    <row r="239" spans="2:10">
      <c r="C239" s="2" t="s">
        <v>483</v>
      </c>
      <c r="D239" s="2"/>
      <c r="E239" s="2"/>
      <c r="F239" s="312"/>
      <c r="G239" s="312"/>
      <c r="H239" s="312"/>
      <c r="I239" s="537" t="s">
        <v>14</v>
      </c>
      <c r="J239" s="537" t="s">
        <v>14</v>
      </c>
    </row>
    <row r="240" spans="2:10">
      <c r="C240" s="2" t="s">
        <v>484</v>
      </c>
      <c r="D240" s="2"/>
      <c r="E240" s="2"/>
      <c r="F240" s="312"/>
      <c r="G240" s="312"/>
      <c r="H240" s="312"/>
      <c r="I240" s="537" t="s">
        <v>14</v>
      </c>
      <c r="J240" s="537" t="s">
        <v>14</v>
      </c>
    </row>
    <row r="241" spans="2:10">
      <c r="C241" s="2" t="s">
        <v>485</v>
      </c>
      <c r="D241" s="2"/>
      <c r="E241" s="2"/>
      <c r="F241" s="312"/>
      <c r="G241" s="312"/>
      <c r="H241" s="312"/>
      <c r="I241" s="537"/>
      <c r="J241" s="537"/>
    </row>
    <row r="242" spans="2:10">
      <c r="C242" s="312" t="s">
        <v>486</v>
      </c>
      <c r="D242" s="312"/>
      <c r="E242" s="312"/>
      <c r="F242" s="312"/>
      <c r="G242" s="312"/>
      <c r="H242" s="312"/>
      <c r="I242" s="537" t="s">
        <v>14</v>
      </c>
      <c r="J242" s="537" t="s">
        <v>14</v>
      </c>
    </row>
    <row r="243" spans="2:10">
      <c r="C243" s="315" t="s">
        <v>487</v>
      </c>
      <c r="D243" s="315"/>
      <c r="E243" s="315"/>
      <c r="F243" s="315"/>
      <c r="G243" s="315"/>
      <c r="H243" s="315"/>
      <c r="I243" s="537" t="s">
        <v>14</v>
      </c>
      <c r="J243" s="537" t="s">
        <v>14</v>
      </c>
    </row>
    <row r="244" spans="2:10">
      <c r="C244" s="312" t="s">
        <v>486</v>
      </c>
      <c r="D244" s="312"/>
      <c r="E244" s="312"/>
      <c r="F244" s="312"/>
      <c r="G244" s="312"/>
      <c r="H244" s="312"/>
      <c r="I244" s="537" t="s">
        <v>14</v>
      </c>
      <c r="J244" s="537" t="s">
        <v>14</v>
      </c>
    </row>
    <row r="245" spans="2:10">
      <c r="C245" s="315" t="s">
        <v>488</v>
      </c>
      <c r="D245" s="315"/>
      <c r="E245" s="315"/>
      <c r="F245" s="315"/>
      <c r="G245" s="315"/>
      <c r="H245" s="315"/>
      <c r="I245" s="537" t="s">
        <v>14</v>
      </c>
      <c r="J245" s="537" t="s">
        <v>14</v>
      </c>
    </row>
    <row r="246" spans="2:10">
      <c r="C246" s="312" t="s">
        <v>486</v>
      </c>
      <c r="D246" s="312"/>
      <c r="E246" s="312"/>
      <c r="F246" s="312"/>
      <c r="G246" s="312"/>
      <c r="H246" s="312"/>
      <c r="I246" s="537" t="s">
        <v>14</v>
      </c>
      <c r="J246" s="537" t="s">
        <v>14</v>
      </c>
    </row>
    <row r="247" spans="2:10">
      <c r="C247" s="315" t="s">
        <v>488</v>
      </c>
      <c r="D247" s="315"/>
      <c r="E247" s="315"/>
      <c r="F247" s="315"/>
      <c r="G247" s="315"/>
      <c r="H247" s="315"/>
      <c r="I247" s="537" t="s">
        <v>14</v>
      </c>
      <c r="J247" s="537" t="s">
        <v>14</v>
      </c>
    </row>
    <row r="248" spans="2:10">
      <c r="C248" s="312" t="s">
        <v>486</v>
      </c>
      <c r="D248" s="312"/>
      <c r="E248" s="312"/>
      <c r="F248" s="312"/>
      <c r="G248" s="312"/>
      <c r="H248" s="312"/>
      <c r="I248" s="537" t="s">
        <v>14</v>
      </c>
      <c r="J248" s="537" t="s">
        <v>14</v>
      </c>
    </row>
    <row r="249" spans="2:10">
      <c r="C249" s="315" t="s">
        <v>488</v>
      </c>
      <c r="D249" s="315"/>
      <c r="E249" s="315"/>
      <c r="F249" s="315"/>
      <c r="G249" s="315"/>
      <c r="H249" s="315"/>
      <c r="I249" s="537" t="s">
        <v>14</v>
      </c>
      <c r="J249" s="537" t="s">
        <v>14</v>
      </c>
    </row>
    <row r="250" spans="2:10">
      <c r="C250" s="312" t="s">
        <v>486</v>
      </c>
      <c r="D250" s="312"/>
      <c r="E250" s="312"/>
      <c r="F250" s="312"/>
      <c r="G250" s="312"/>
      <c r="H250" s="312"/>
      <c r="I250" s="537" t="s">
        <v>14</v>
      </c>
      <c r="J250" s="537" t="s">
        <v>14</v>
      </c>
    </row>
    <row r="251" spans="2:10">
      <c r="C251" s="315" t="s">
        <v>488</v>
      </c>
      <c r="D251" s="315"/>
      <c r="E251" s="315"/>
      <c r="F251" s="315"/>
      <c r="G251" s="315"/>
      <c r="H251" s="315"/>
      <c r="I251" s="537" t="s">
        <v>14</v>
      </c>
      <c r="J251" s="537" t="s">
        <v>14</v>
      </c>
    </row>
    <row r="252" spans="2:10">
      <c r="C252" s="312" t="s">
        <v>486</v>
      </c>
      <c r="D252" s="312"/>
      <c r="E252" s="312"/>
      <c r="F252" s="312"/>
      <c r="G252" s="312"/>
      <c r="H252" s="312"/>
      <c r="I252" s="537" t="s">
        <v>14</v>
      </c>
      <c r="J252" s="537" t="s">
        <v>14</v>
      </c>
    </row>
    <row r="253" spans="2:10">
      <c r="B253" s="315" t="s">
        <v>489</v>
      </c>
      <c r="C253" s="315" t="s">
        <v>489</v>
      </c>
      <c r="D253" s="315"/>
      <c r="E253" s="315"/>
      <c r="F253" s="315"/>
      <c r="G253" s="315"/>
      <c r="H253" s="315"/>
      <c r="I253" s="537" t="s">
        <v>14</v>
      </c>
      <c r="J253" s="537" t="s">
        <v>14</v>
      </c>
    </row>
    <row r="254" spans="2:10">
      <c r="C254" s="308" t="s">
        <v>539</v>
      </c>
      <c r="D254" s="2"/>
      <c r="E254" s="2"/>
      <c r="F254" s="312"/>
      <c r="G254" s="312"/>
      <c r="H254" s="312"/>
      <c r="I254" s="537" t="s">
        <v>14</v>
      </c>
      <c r="J254" s="537" t="s">
        <v>14</v>
      </c>
    </row>
    <row r="255" spans="2:10">
      <c r="C255" s="308" t="s">
        <v>490</v>
      </c>
      <c r="D255" s="2"/>
      <c r="E255" s="2"/>
      <c r="F255" s="312"/>
      <c r="G255" s="312"/>
      <c r="H255" s="312"/>
      <c r="I255" s="537" t="s">
        <v>14</v>
      </c>
      <c r="J255" s="537" t="s">
        <v>14</v>
      </c>
    </row>
    <row r="256" spans="2:10">
      <c r="C256" s="2" t="s">
        <v>491</v>
      </c>
      <c r="D256" s="2"/>
      <c r="E256" s="2"/>
      <c r="F256" s="312"/>
      <c r="G256" s="312"/>
      <c r="H256" s="312"/>
      <c r="I256" s="537" t="s">
        <v>14</v>
      </c>
      <c r="J256" s="537" t="s">
        <v>14</v>
      </c>
    </row>
    <row r="257" spans="2:10">
      <c r="C257" s="2"/>
      <c r="D257" s="2"/>
      <c r="E257" s="2"/>
      <c r="F257" s="312"/>
      <c r="G257" s="312"/>
      <c r="H257" s="312"/>
      <c r="I257" s="537"/>
      <c r="J257" s="537"/>
    </row>
    <row r="258" spans="2:10">
      <c r="B258" s="309" t="s">
        <v>492</v>
      </c>
      <c r="C258" s="308"/>
      <c r="D258" s="308"/>
      <c r="E258" s="308"/>
      <c r="F258" s="313"/>
      <c r="G258" s="313"/>
      <c r="H258" s="313"/>
      <c r="I258" s="537"/>
      <c r="J258" s="537"/>
    </row>
    <row r="259" spans="2:10">
      <c r="C259" s="2" t="s">
        <v>493</v>
      </c>
      <c r="D259" s="2"/>
      <c r="E259" s="2"/>
      <c r="F259" s="312"/>
      <c r="G259" s="312"/>
      <c r="H259" s="312"/>
      <c r="I259" s="537"/>
      <c r="J259" s="537"/>
    </row>
    <row r="260" spans="2:10">
      <c r="B260" s="312" t="s">
        <v>494</v>
      </c>
      <c r="C260" s="312" t="s">
        <v>494</v>
      </c>
      <c r="D260" s="312"/>
      <c r="E260" s="312"/>
      <c r="F260" s="312"/>
      <c r="G260" s="312"/>
      <c r="H260" s="312"/>
      <c r="I260" s="537" t="s">
        <v>14</v>
      </c>
      <c r="J260" s="537" t="s">
        <v>14</v>
      </c>
    </row>
    <row r="261" spans="2:10">
      <c r="B261" s="312" t="s">
        <v>495</v>
      </c>
      <c r="C261" s="312" t="s">
        <v>495</v>
      </c>
      <c r="D261" s="312"/>
      <c r="E261" s="312"/>
      <c r="F261" s="312"/>
      <c r="G261" s="312"/>
      <c r="H261" s="312"/>
      <c r="I261" s="537" t="s">
        <v>14</v>
      </c>
      <c r="J261" s="537" t="s">
        <v>14</v>
      </c>
    </row>
    <row r="262" spans="2:10">
      <c r="B262" s="312" t="s">
        <v>496</v>
      </c>
      <c r="C262" s="312" t="s">
        <v>496</v>
      </c>
      <c r="D262" s="312"/>
      <c r="E262" s="312"/>
      <c r="F262" s="312"/>
      <c r="G262" s="312"/>
      <c r="H262" s="312"/>
      <c r="I262" s="537" t="s">
        <v>14</v>
      </c>
      <c r="J262" s="537" t="s">
        <v>14</v>
      </c>
    </row>
    <row r="263" spans="2:10">
      <c r="B263" s="312" t="s">
        <v>497</v>
      </c>
      <c r="C263" s="312" t="s">
        <v>497</v>
      </c>
      <c r="D263" s="312"/>
      <c r="E263" s="312"/>
      <c r="F263" s="312"/>
      <c r="G263" s="312"/>
      <c r="H263" s="312"/>
      <c r="I263" s="537" t="s">
        <v>14</v>
      </c>
      <c r="J263" s="537" t="s">
        <v>14</v>
      </c>
    </row>
    <row r="264" spans="2:10">
      <c r="B264" s="312" t="s">
        <v>498</v>
      </c>
      <c r="C264" s="312" t="s">
        <v>498</v>
      </c>
      <c r="D264" s="312"/>
      <c r="E264" s="312"/>
      <c r="F264" s="312"/>
      <c r="G264" s="312"/>
      <c r="H264" s="312"/>
      <c r="I264" s="537" t="s">
        <v>14</v>
      </c>
      <c r="J264" s="537" t="s">
        <v>14</v>
      </c>
    </row>
    <row r="265" spans="2:10">
      <c r="B265" s="312" t="s">
        <v>499</v>
      </c>
      <c r="C265" s="312" t="s">
        <v>499</v>
      </c>
      <c r="D265" s="312"/>
      <c r="E265" s="312"/>
      <c r="F265" s="312"/>
      <c r="G265" s="312"/>
      <c r="H265" s="312"/>
      <c r="I265" s="537" t="s">
        <v>14</v>
      </c>
      <c r="J265" s="537" t="s">
        <v>14</v>
      </c>
    </row>
    <row r="266" spans="2:10">
      <c r="C266" s="2" t="s">
        <v>500</v>
      </c>
      <c r="D266" s="2"/>
      <c r="E266" s="2"/>
      <c r="F266" s="312"/>
      <c r="G266" s="312"/>
      <c r="H266" s="312"/>
      <c r="I266" s="537"/>
      <c r="J266" s="537"/>
    </row>
    <row r="267" spans="2:10">
      <c r="C267" s="312" t="s">
        <v>494</v>
      </c>
      <c r="D267" s="312"/>
      <c r="E267" s="312"/>
      <c r="F267" s="312"/>
      <c r="G267" s="312"/>
      <c r="H267" s="312"/>
      <c r="I267" s="537" t="s">
        <v>67</v>
      </c>
      <c r="J267" s="537" t="s">
        <v>67</v>
      </c>
    </row>
    <row r="268" spans="2:10">
      <c r="C268" s="312" t="s">
        <v>495</v>
      </c>
      <c r="D268" s="312"/>
      <c r="E268" s="312"/>
      <c r="F268" s="312"/>
      <c r="G268" s="312"/>
      <c r="H268" s="312"/>
      <c r="I268" s="537" t="s">
        <v>67</v>
      </c>
      <c r="J268" s="537" t="s">
        <v>67</v>
      </c>
    </row>
    <row r="269" spans="2:10">
      <c r="C269" s="312" t="s">
        <v>496</v>
      </c>
      <c r="D269" s="312"/>
      <c r="E269" s="312"/>
      <c r="F269" s="312"/>
      <c r="G269" s="312"/>
      <c r="H269" s="312"/>
      <c r="I269" s="537" t="s">
        <v>67</v>
      </c>
      <c r="J269" s="537" t="s">
        <v>67</v>
      </c>
    </row>
    <row r="270" spans="2:10">
      <c r="C270" s="312" t="s">
        <v>497</v>
      </c>
      <c r="D270" s="312"/>
      <c r="E270" s="312"/>
      <c r="F270" s="312"/>
      <c r="G270" s="312"/>
      <c r="H270" s="312"/>
      <c r="I270" s="537" t="s">
        <v>67</v>
      </c>
      <c r="J270" s="537" t="s">
        <v>67</v>
      </c>
    </row>
    <row r="271" spans="2:10">
      <c r="C271" s="312" t="s">
        <v>498</v>
      </c>
      <c r="D271" s="312"/>
      <c r="E271" s="312"/>
      <c r="F271" s="312"/>
      <c r="G271" s="312"/>
      <c r="H271" s="312"/>
      <c r="I271" s="537" t="s">
        <v>67</v>
      </c>
      <c r="J271" s="537" t="s">
        <v>67</v>
      </c>
    </row>
    <row r="272" spans="2:10">
      <c r="C272" s="312" t="s">
        <v>499</v>
      </c>
      <c r="D272" s="312"/>
      <c r="E272" s="312"/>
      <c r="F272" s="312"/>
      <c r="G272" s="312"/>
      <c r="H272" s="312"/>
      <c r="I272" s="537" t="s">
        <v>67</v>
      </c>
      <c r="J272" s="537" t="s">
        <v>67</v>
      </c>
    </row>
    <row r="273" spans="2:10">
      <c r="C273" s="308" t="s">
        <v>541</v>
      </c>
      <c r="D273" s="2"/>
      <c r="E273" s="2"/>
      <c r="F273" s="312"/>
      <c r="G273" s="312"/>
      <c r="H273" s="312"/>
      <c r="I273" s="537" t="s">
        <v>14</v>
      </c>
      <c r="J273" s="537" t="s">
        <v>14</v>
      </c>
    </row>
    <row r="274" spans="2:10">
      <c r="C274" s="2"/>
      <c r="D274" s="2"/>
      <c r="E274" s="2"/>
      <c r="F274" s="312"/>
      <c r="G274" s="312"/>
      <c r="H274" s="312"/>
      <c r="I274" s="537"/>
      <c r="J274" s="537"/>
    </row>
    <row r="275" spans="2:10">
      <c r="B275" s="309" t="s">
        <v>501</v>
      </c>
      <c r="C275" s="308"/>
      <c r="D275" s="308"/>
      <c r="E275" s="308"/>
      <c r="F275" s="312"/>
      <c r="G275" s="312"/>
      <c r="H275" s="312"/>
      <c r="I275" s="537"/>
      <c r="J275" s="537"/>
    </row>
    <row r="276" spans="2:10">
      <c r="C276" s="308" t="s">
        <v>502</v>
      </c>
      <c r="D276" s="2"/>
      <c r="E276" s="2"/>
      <c r="F276" s="312"/>
      <c r="G276" s="312"/>
      <c r="H276" s="312"/>
      <c r="I276" s="537" t="s">
        <v>14</v>
      </c>
      <c r="J276" s="537" t="s">
        <v>14</v>
      </c>
    </row>
    <row r="277" spans="2:10">
      <c r="C277" s="2" t="s">
        <v>503</v>
      </c>
      <c r="D277" s="2"/>
      <c r="E277" s="2"/>
      <c r="F277" s="312"/>
      <c r="G277" s="312"/>
      <c r="H277" s="312"/>
      <c r="I277" s="537"/>
      <c r="J277" s="537"/>
    </row>
    <row r="278" spans="2:10">
      <c r="C278" s="312" t="s">
        <v>342</v>
      </c>
      <c r="D278" s="312"/>
      <c r="E278" s="312"/>
      <c r="F278" s="312"/>
      <c r="G278" s="312"/>
      <c r="H278" s="312"/>
      <c r="I278" s="537" t="s">
        <v>14</v>
      </c>
      <c r="J278" s="537" t="s">
        <v>14</v>
      </c>
    </row>
    <row r="279" spans="2:10">
      <c r="C279" s="312" t="s">
        <v>504</v>
      </c>
      <c r="D279" s="312"/>
      <c r="E279" s="312"/>
      <c r="F279" s="312"/>
      <c r="G279" s="312"/>
      <c r="H279" s="312"/>
      <c r="I279" s="537" t="s">
        <v>14</v>
      </c>
      <c r="J279" s="537" t="s">
        <v>14</v>
      </c>
    </row>
    <row r="280" spans="2:10">
      <c r="C280" s="312" t="s">
        <v>385</v>
      </c>
      <c r="D280" s="312"/>
      <c r="E280" s="312"/>
      <c r="F280" s="312"/>
      <c r="G280" s="312"/>
      <c r="H280" s="312"/>
      <c r="I280" s="537" t="s">
        <v>14</v>
      </c>
      <c r="J280" s="537" t="s">
        <v>14</v>
      </c>
    </row>
    <row r="281" spans="2:10">
      <c r="C281" s="312" t="s">
        <v>505</v>
      </c>
      <c r="D281" s="312"/>
      <c r="E281" s="312"/>
      <c r="F281" s="312"/>
      <c r="G281" s="312"/>
      <c r="H281" s="312"/>
      <c r="I281" s="537" t="s">
        <v>14</v>
      </c>
      <c r="J281" s="537" t="s">
        <v>14</v>
      </c>
    </row>
    <row r="282" spans="2:10">
      <c r="C282" s="312" t="s">
        <v>506</v>
      </c>
      <c r="D282" s="312"/>
      <c r="E282" s="312"/>
      <c r="F282" s="312"/>
      <c r="G282" s="312"/>
      <c r="H282" s="312"/>
      <c r="I282" s="537" t="s">
        <v>14</v>
      </c>
      <c r="J282" s="537" t="s">
        <v>14</v>
      </c>
    </row>
    <row r="283" spans="2:10">
      <c r="C283" s="312" t="s">
        <v>409</v>
      </c>
      <c r="D283" s="312"/>
      <c r="E283" s="312"/>
      <c r="F283" s="312"/>
      <c r="G283" s="312"/>
      <c r="H283" s="312"/>
      <c r="I283" s="537"/>
      <c r="J283" s="537"/>
    </row>
    <row r="284" spans="2:10">
      <c r="C284" s="315" t="s">
        <v>507</v>
      </c>
      <c r="D284" s="315"/>
      <c r="E284" s="315"/>
      <c r="F284" s="315"/>
      <c r="G284" s="315"/>
      <c r="H284" s="315"/>
      <c r="I284" s="537" t="s">
        <v>14</v>
      </c>
      <c r="J284" s="537" t="s">
        <v>14</v>
      </c>
    </row>
    <row r="285" spans="2:10">
      <c r="C285" s="315" t="s">
        <v>508</v>
      </c>
      <c r="D285" s="315"/>
      <c r="E285" s="315"/>
      <c r="F285" s="315"/>
      <c r="G285" s="315"/>
      <c r="H285" s="315"/>
      <c r="I285" s="537" t="s">
        <v>14</v>
      </c>
      <c r="J285" s="537" t="s">
        <v>14</v>
      </c>
    </row>
    <row r="286" spans="2:10">
      <c r="C286" s="315" t="s">
        <v>509</v>
      </c>
      <c r="D286" s="315"/>
      <c r="E286" s="315"/>
      <c r="F286" s="315"/>
      <c r="G286" s="315"/>
      <c r="H286" s="315"/>
      <c r="I286" s="537" t="s">
        <v>14</v>
      </c>
      <c r="J286" s="537" t="s">
        <v>14</v>
      </c>
    </row>
    <row r="287" spans="2:10">
      <c r="C287" s="2"/>
      <c r="D287" s="2"/>
      <c r="E287" s="2"/>
      <c r="F287" s="311"/>
      <c r="G287" s="311"/>
      <c r="H287" s="311"/>
      <c r="I287" s="537"/>
      <c r="J287" s="537"/>
    </row>
    <row r="288" spans="2:10">
      <c r="B288" s="309" t="s">
        <v>501</v>
      </c>
      <c r="C288" s="2"/>
      <c r="D288" s="2"/>
      <c r="E288" s="2"/>
      <c r="F288" s="311"/>
      <c r="G288" s="311"/>
      <c r="H288" s="311"/>
      <c r="I288" s="537"/>
      <c r="J288" s="537"/>
    </row>
    <row r="289" spans="3:15">
      <c r="C289" s="308" t="s">
        <v>510</v>
      </c>
      <c r="D289" s="2"/>
      <c r="E289" s="2"/>
      <c r="F289" s="311"/>
      <c r="G289" s="311"/>
      <c r="H289" s="311"/>
      <c r="I289" s="537" t="s">
        <v>14</v>
      </c>
      <c r="J289" s="537" t="s">
        <v>14</v>
      </c>
    </row>
    <row r="290" spans="3:15">
      <c r="C290" s="308" t="s">
        <v>511</v>
      </c>
      <c r="D290" s="2"/>
      <c r="E290" s="2"/>
      <c r="F290" s="311"/>
      <c r="G290" s="311"/>
      <c r="H290" s="311"/>
      <c r="I290" s="537" t="s">
        <v>14</v>
      </c>
      <c r="J290" s="537" t="s">
        <v>14</v>
      </c>
    </row>
    <row r="291" spans="3:15">
      <c r="C291" s="2"/>
      <c r="D291" s="2"/>
      <c r="E291" s="2"/>
      <c r="F291" s="2"/>
      <c r="G291" s="2"/>
      <c r="H291" s="2"/>
      <c r="K291" s="2"/>
      <c r="L291" s="2"/>
      <c r="M291" s="301"/>
      <c r="N291" s="2"/>
      <c r="O291" s="301"/>
    </row>
  </sheetData>
  <sheetProtection selectLockedCells="1"/>
  <mergeCells count="109">
    <mergeCell ref="I65:J65"/>
    <mergeCell ref="C57:D57"/>
    <mergeCell ref="H57:M57"/>
    <mergeCell ref="C58:D58"/>
    <mergeCell ref="H58:M58"/>
    <mergeCell ref="I63:J63"/>
    <mergeCell ref="I64:J64"/>
    <mergeCell ref="C54:D54"/>
    <mergeCell ref="H54:M54"/>
    <mergeCell ref="C55:D55"/>
    <mergeCell ref="H55:M55"/>
    <mergeCell ref="C56:D56"/>
    <mergeCell ref="H56:M56"/>
    <mergeCell ref="C51:D51"/>
    <mergeCell ref="H51:M51"/>
    <mergeCell ref="C52:D52"/>
    <mergeCell ref="H52:M52"/>
    <mergeCell ref="C53:D53"/>
    <mergeCell ref="H53:M53"/>
    <mergeCell ref="C48:D48"/>
    <mergeCell ref="H48:M48"/>
    <mergeCell ref="C49:D49"/>
    <mergeCell ref="H49:M49"/>
    <mergeCell ref="C50:D50"/>
    <mergeCell ref="H50:M50"/>
    <mergeCell ref="C45:D45"/>
    <mergeCell ref="H45:M45"/>
    <mergeCell ref="C46:D46"/>
    <mergeCell ref="H46:M46"/>
    <mergeCell ref="C47:D47"/>
    <mergeCell ref="H47:M47"/>
    <mergeCell ref="C42:D42"/>
    <mergeCell ref="H42:M42"/>
    <mergeCell ref="C43:D43"/>
    <mergeCell ref="H43:M43"/>
    <mergeCell ref="C44:D44"/>
    <mergeCell ref="H44:M44"/>
    <mergeCell ref="C39:D39"/>
    <mergeCell ref="H39:M39"/>
    <mergeCell ref="C40:D40"/>
    <mergeCell ref="H40:M40"/>
    <mergeCell ref="C41:D41"/>
    <mergeCell ref="H41:M41"/>
    <mergeCell ref="C24:D24"/>
    <mergeCell ref="F24:G24"/>
    <mergeCell ref="K24:M24"/>
    <mergeCell ref="C27:M34"/>
    <mergeCell ref="H37:M37"/>
    <mergeCell ref="C38:D38"/>
    <mergeCell ref="H38:M38"/>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1">
    <tabColor rgb="FF00B0F0"/>
  </sheetPr>
  <dimension ref="B1:U291"/>
  <sheetViews>
    <sheetView topLeftCell="A34" workbookViewId="0">
      <selection activeCell="L12" sqref="L12:M12"/>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Detail!A34</f>
        <v>Milwaukee Greenwich Apartments</v>
      </c>
      <c r="D2" s="341"/>
      <c r="E2" s="341"/>
      <c r="F2" s="120"/>
      <c r="G2" s="120"/>
      <c r="H2" s="120"/>
      <c r="I2" s="120"/>
      <c r="J2" s="120"/>
      <c r="K2" s="120"/>
      <c r="L2" s="120"/>
      <c r="M2" s="121"/>
      <c r="N2" s="319"/>
    </row>
    <row r="3" spans="2:21" s="122" customFormat="1" ht="20.25" customHeight="1" thickBot="1">
      <c r="B3" s="319"/>
      <c r="C3" s="136" t="str">
        <f>Detail!B34</f>
        <v>D Lyon</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Detail!V34</f>
        <v>Family</v>
      </c>
      <c r="G6" s="836"/>
      <c r="H6" s="357"/>
      <c r="I6" s="833" t="s">
        <v>219</v>
      </c>
      <c r="J6" s="834"/>
      <c r="K6" s="834"/>
      <c r="L6" s="837" t="str">
        <f>Detail!I34</f>
        <v>LIHTC - 9%</v>
      </c>
      <c r="M6" s="838"/>
      <c r="N6" s="318"/>
    </row>
    <row r="7" spans="2:21" ht="17.25" customHeight="1">
      <c r="B7" s="318"/>
      <c r="C7" s="796" t="s">
        <v>214</v>
      </c>
      <c r="D7" s="797"/>
      <c r="E7" s="352"/>
      <c r="F7" s="819" t="str">
        <f>Detail!C34</f>
        <v>Milwaukee</v>
      </c>
      <c r="G7" s="820"/>
      <c r="H7" s="357"/>
      <c r="I7" s="796" t="s">
        <v>183</v>
      </c>
      <c r="J7" s="797"/>
      <c r="K7" s="797"/>
      <c r="L7" s="830" t="str">
        <f>Detail!J34</f>
        <v>TBD</v>
      </c>
      <c r="M7" s="831"/>
      <c r="N7" s="318"/>
    </row>
    <row r="8" spans="2:21">
      <c r="B8" s="318"/>
      <c r="C8" s="796" t="s">
        <v>9</v>
      </c>
      <c r="D8" s="797"/>
      <c r="E8" s="352"/>
      <c r="F8" s="819" t="str">
        <f>Detail!D34</f>
        <v>New Construction</v>
      </c>
      <c r="G8" s="820"/>
      <c r="H8" s="357"/>
      <c r="I8" s="796" t="s">
        <v>184</v>
      </c>
      <c r="J8" s="797"/>
      <c r="K8" s="797"/>
      <c r="L8" s="830" t="str">
        <f>Detail!K34</f>
        <v>TBD</v>
      </c>
      <c r="M8" s="831"/>
      <c r="N8" s="318"/>
    </row>
    <row r="9" spans="2:21">
      <c r="B9" s="318"/>
      <c r="C9" s="796" t="s">
        <v>215</v>
      </c>
      <c r="D9" s="797"/>
      <c r="E9" s="353"/>
      <c r="F9" s="832">
        <f>Detail!T34</f>
        <v>55</v>
      </c>
      <c r="G9" s="820"/>
      <c r="H9" s="357"/>
      <c r="I9" s="796" t="s">
        <v>185</v>
      </c>
      <c r="J9" s="797"/>
      <c r="K9" s="797"/>
      <c r="L9" s="830" t="str">
        <f>Detail!L34</f>
        <v>TBD</v>
      </c>
      <c r="M9" s="831"/>
      <c r="N9" s="318"/>
    </row>
    <row r="10" spans="2:21" ht="17.25" customHeight="1">
      <c r="B10" s="318"/>
      <c r="C10" s="796" t="s">
        <v>216</v>
      </c>
      <c r="D10" s="797"/>
      <c r="E10" s="352"/>
      <c r="F10" s="819" t="str">
        <f>Detail!V34</f>
        <v>Family</v>
      </c>
      <c r="G10" s="820"/>
      <c r="H10" s="357"/>
      <c r="I10" s="796" t="s">
        <v>44</v>
      </c>
      <c r="J10" s="797"/>
      <c r="K10" s="797"/>
      <c r="L10" s="800">
        <f>Detail!AB34</f>
        <v>11000000</v>
      </c>
      <c r="M10" s="801"/>
      <c r="N10" s="318"/>
    </row>
    <row r="11" spans="2:21" ht="17.25" customHeight="1">
      <c r="B11" s="318"/>
      <c r="C11" s="361"/>
      <c r="D11" s="362"/>
      <c r="E11" s="352"/>
      <c r="F11" s="819" t="str">
        <f>Detail!W34</f>
        <v>Workforce</v>
      </c>
      <c r="G11" s="820"/>
      <c r="H11" s="357"/>
      <c r="I11" s="796" t="s">
        <v>602</v>
      </c>
      <c r="J11" s="797"/>
      <c r="K11" s="512"/>
      <c r="L11" s="828" t="str">
        <f>Detail!AG34</f>
        <v>TBD</v>
      </c>
      <c r="M11" s="829"/>
      <c r="N11" s="318"/>
    </row>
    <row r="12" spans="2:21">
      <c r="B12" s="318"/>
      <c r="C12" s="361"/>
      <c r="D12" s="362"/>
      <c r="E12" s="352"/>
      <c r="F12" s="819" t="str">
        <f>Detail!X34</f>
        <v>N/A</v>
      </c>
      <c r="G12" s="820"/>
      <c r="H12" s="357"/>
      <c r="I12" s="796" t="s">
        <v>603</v>
      </c>
      <c r="J12" s="797"/>
      <c r="K12" s="797"/>
      <c r="L12" s="828" t="str">
        <f>Detail!N34</f>
        <v>TBD</v>
      </c>
      <c r="M12" s="829"/>
      <c r="N12" s="318"/>
    </row>
    <row r="13" spans="2:21" ht="17.25" customHeight="1">
      <c r="B13" s="318"/>
      <c r="C13" s="796" t="s">
        <v>525</v>
      </c>
      <c r="D13" s="797"/>
      <c r="E13" s="354"/>
      <c r="F13" s="827" t="str">
        <f>Detail!AM34</f>
        <v>MHMG</v>
      </c>
      <c r="G13" s="820"/>
      <c r="H13" s="357"/>
      <c r="I13" s="796" t="s">
        <v>256</v>
      </c>
      <c r="J13" s="797"/>
      <c r="K13" s="797"/>
      <c r="L13" s="800">
        <f>Detail!AC34</f>
        <v>10500000</v>
      </c>
      <c r="M13" s="801"/>
      <c r="N13" s="318"/>
    </row>
    <row r="14" spans="2:21" ht="17.25" customHeight="1">
      <c r="B14" s="318"/>
      <c r="C14" s="796" t="s">
        <v>172</v>
      </c>
      <c r="D14" s="797"/>
      <c r="E14" s="352"/>
      <c r="F14" s="819" t="str">
        <f>Detail!Z34</f>
        <v>Service Coordination</v>
      </c>
      <c r="G14" s="820"/>
      <c r="H14" s="357"/>
      <c r="I14" s="796" t="s">
        <v>257</v>
      </c>
      <c r="J14" s="797"/>
      <c r="K14" s="797"/>
      <c r="L14" s="800">
        <f>Detail!AF34</f>
        <v>9450000</v>
      </c>
      <c r="M14" s="801"/>
      <c r="N14" s="318"/>
    </row>
    <row r="15" spans="2:21" ht="17.25" customHeight="1" thickBot="1">
      <c r="B15" s="318"/>
      <c r="C15" s="796" t="s">
        <v>217</v>
      </c>
      <c r="D15" s="797"/>
      <c r="E15" s="355"/>
      <c r="F15" s="819" t="str">
        <f>Detail!AA34</f>
        <v>TBD</v>
      </c>
      <c r="G15" s="820"/>
      <c r="H15" s="357"/>
      <c r="I15" s="821" t="s">
        <v>255</v>
      </c>
      <c r="J15" s="822"/>
      <c r="K15" s="822"/>
      <c r="L15" s="823">
        <f>Detail!AD34</f>
        <v>1050000</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Detail!AH34</f>
        <v>1052000</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Detail!AJ34</f>
        <v>789000</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Detail!AI34</f>
        <v>263000</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6" thickTop="1">
      <c r="B21" s="320"/>
      <c r="C21" s="804" t="s">
        <v>46</v>
      </c>
      <c r="D21" s="805"/>
      <c r="E21" s="349"/>
      <c r="F21" s="806" t="str">
        <f>Detail!F34</f>
        <v>Development</v>
      </c>
      <c r="G21" s="807"/>
      <c r="H21" s="359"/>
      <c r="I21" s="804" t="s">
        <v>226</v>
      </c>
      <c r="J21" s="805"/>
      <c r="K21" s="805"/>
      <c r="L21" s="808">
        <f>Detail!Q34</f>
        <v>0</v>
      </c>
      <c r="M21" s="809"/>
      <c r="N21" s="320"/>
    </row>
    <row r="22" spans="2:21" s="88" customFormat="1" ht="17.25" customHeight="1">
      <c r="B22" s="320"/>
      <c r="C22" s="796" t="s">
        <v>223</v>
      </c>
      <c r="D22" s="797"/>
      <c r="E22" s="348"/>
      <c r="F22" s="798">
        <f>Detail!P34</f>
        <v>41609</v>
      </c>
      <c r="G22" s="799"/>
      <c r="H22" s="359"/>
      <c r="I22" s="796" t="s">
        <v>227</v>
      </c>
      <c r="J22" s="797"/>
      <c r="K22" s="797"/>
      <c r="L22" s="800">
        <f>Detail!AO34+Detail!AP34+Detail!AQ34+Detail!AR34</f>
        <v>0</v>
      </c>
      <c r="M22" s="801"/>
      <c r="N22" s="320"/>
    </row>
    <row r="23" spans="2:21" s="88" customFormat="1" ht="17.25" customHeight="1">
      <c r="B23" s="320"/>
      <c r="C23" s="796" t="s">
        <v>224</v>
      </c>
      <c r="D23" s="797"/>
      <c r="E23" s="348"/>
      <c r="F23" s="798">
        <f>Detail!R34</f>
        <v>41640</v>
      </c>
      <c r="G23" s="799"/>
      <c r="H23" s="359"/>
      <c r="I23" s="796" t="s">
        <v>228</v>
      </c>
      <c r="J23" s="797"/>
      <c r="K23" s="797"/>
      <c r="L23" s="800">
        <f>Detail!BG34</f>
        <v>0</v>
      </c>
      <c r="M23" s="801"/>
      <c r="N23" s="320"/>
    </row>
    <row r="24" spans="2:21" s="88" customFormat="1" ht="17.25" customHeight="1" thickBot="1">
      <c r="B24" s="320"/>
      <c r="C24" s="778" t="s">
        <v>225</v>
      </c>
      <c r="D24" s="779"/>
      <c r="E24" s="513"/>
      <c r="F24" s="780">
        <f>Detail!S34</f>
        <v>42005</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Milwaukee Greenwich Apartments</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ht="14">
      <c r="B38" s="322"/>
      <c r="C38" s="792" t="s">
        <v>514</v>
      </c>
      <c r="D38" s="793"/>
      <c r="E38" s="344"/>
      <c r="F38" s="368">
        <f>I92</f>
        <v>40543</v>
      </c>
      <c r="G38" s="368">
        <f>J92</f>
        <v>40543</v>
      </c>
      <c r="H38" s="794"/>
      <c r="I38" s="794"/>
      <c r="J38" s="794"/>
      <c r="K38" s="794"/>
      <c r="L38" s="794"/>
      <c r="M38" s="795"/>
      <c r="N38" s="322"/>
    </row>
    <row r="39" spans="2:19" s="300" customFormat="1" ht="12.75" customHeight="1">
      <c r="B39" s="322"/>
      <c r="C39" s="774" t="s">
        <v>516</v>
      </c>
      <c r="D39" s="775"/>
      <c r="E39" s="514"/>
      <c r="F39" s="368">
        <f>I94</f>
        <v>41072</v>
      </c>
      <c r="G39" s="369" t="str">
        <f>J94</f>
        <v>TBD</v>
      </c>
      <c r="H39" s="772" t="s">
        <v>615</v>
      </c>
      <c r="I39" s="772"/>
      <c r="J39" s="772"/>
      <c r="K39" s="772"/>
      <c r="L39" s="772"/>
      <c r="M39" s="773"/>
      <c r="N39" s="322"/>
    </row>
    <row r="40" spans="2:19" s="300" customFormat="1">
      <c r="B40" s="322"/>
      <c r="C40" s="774" t="s">
        <v>344</v>
      </c>
      <c r="D40" s="775"/>
      <c r="E40" s="514"/>
      <c r="F40" s="368" t="str">
        <f>I96</f>
        <v>TBD</v>
      </c>
      <c r="G40" s="368" t="str">
        <f>J96</f>
        <v>TBD</v>
      </c>
      <c r="H40" s="772"/>
      <c r="I40" s="772"/>
      <c r="J40" s="772"/>
      <c r="K40" s="772"/>
      <c r="L40" s="772"/>
      <c r="M40" s="773"/>
      <c r="N40" s="322"/>
    </row>
    <row r="41" spans="2:19" s="300" customFormat="1" ht="12.75" customHeight="1">
      <c r="B41" s="322"/>
      <c r="C41" s="774" t="s">
        <v>535</v>
      </c>
      <c r="D41" s="775"/>
      <c r="E41" s="514"/>
      <c r="F41" s="368">
        <f>'MKE - Greenwich Apts'!I102</f>
        <v>41275</v>
      </c>
      <c r="G41" s="368" t="str">
        <f>J102</f>
        <v>TBD</v>
      </c>
      <c r="H41" s="772"/>
      <c r="I41" s="772"/>
      <c r="J41" s="772"/>
      <c r="K41" s="772"/>
      <c r="L41" s="772"/>
      <c r="M41" s="773"/>
      <c r="N41" s="322"/>
      <c r="P41" s="358"/>
      <c r="Q41" s="358"/>
      <c r="R41" s="358"/>
      <c r="S41" s="358"/>
    </row>
    <row r="42" spans="2:19" s="300" customFormat="1">
      <c r="B42" s="322"/>
      <c r="C42" s="774" t="s">
        <v>536</v>
      </c>
      <c r="D42" s="775"/>
      <c r="E42" s="514"/>
      <c r="F42" s="368">
        <f>I110</f>
        <v>41275</v>
      </c>
      <c r="G42" s="368" t="str">
        <f>J110</f>
        <v>TBD</v>
      </c>
      <c r="H42" s="772"/>
      <c r="I42" s="772"/>
      <c r="J42" s="772"/>
      <c r="K42" s="772"/>
      <c r="L42" s="772"/>
      <c r="M42" s="773"/>
      <c r="N42" s="322"/>
      <c r="P42" s="358"/>
      <c r="Q42" s="358"/>
      <c r="R42" s="358"/>
      <c r="S42" s="358"/>
    </row>
    <row r="43" spans="2:19" s="300" customFormat="1">
      <c r="B43" s="322"/>
      <c r="C43" s="774" t="s">
        <v>517</v>
      </c>
      <c r="D43" s="775"/>
      <c r="E43" s="514"/>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14"/>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14"/>
      <c r="F45" s="368" t="str">
        <f>I200</f>
        <v>TBD</v>
      </c>
      <c r="G45" s="368" t="str">
        <f>J200</f>
        <v>TBD</v>
      </c>
      <c r="H45" s="772"/>
      <c r="I45" s="772"/>
      <c r="J45" s="772"/>
      <c r="K45" s="772"/>
      <c r="L45" s="772"/>
      <c r="M45" s="773"/>
      <c r="N45" s="322"/>
    </row>
    <row r="46" spans="2:19" s="300" customFormat="1">
      <c r="B46" s="322"/>
      <c r="C46" s="774" t="s">
        <v>538</v>
      </c>
      <c r="D46" s="775"/>
      <c r="E46" s="514"/>
      <c r="F46" s="368" t="str">
        <f>I232</f>
        <v>TBD</v>
      </c>
      <c r="G46" s="368" t="str">
        <f>J232</f>
        <v>TBD</v>
      </c>
      <c r="H46" s="772"/>
      <c r="I46" s="772"/>
      <c r="J46" s="772"/>
      <c r="K46" s="772"/>
      <c r="L46" s="772"/>
      <c r="M46" s="773"/>
      <c r="N46" s="322"/>
    </row>
    <row r="47" spans="2:19" s="300" customFormat="1" ht="14">
      <c r="B47" s="322"/>
      <c r="C47" s="774" t="s">
        <v>55</v>
      </c>
      <c r="D47" s="775"/>
      <c r="E47" s="514"/>
      <c r="F47" s="368">
        <f>I225</f>
        <v>41609</v>
      </c>
      <c r="G47" s="368">
        <f>J225</f>
        <v>41609</v>
      </c>
      <c r="H47" s="772"/>
      <c r="I47" s="772"/>
      <c r="J47" s="772"/>
      <c r="K47" s="772"/>
      <c r="L47" s="772"/>
      <c r="M47" s="773"/>
      <c r="N47" s="322"/>
    </row>
    <row r="48" spans="2:19" s="300" customFormat="1">
      <c r="B48" s="322"/>
      <c r="C48" s="774" t="s">
        <v>346</v>
      </c>
      <c r="D48" s="775"/>
      <c r="E48" s="514"/>
      <c r="F48" s="368" t="str">
        <f>I235</f>
        <v>TBD</v>
      </c>
      <c r="G48" s="368" t="str">
        <f>J235</f>
        <v>TBD</v>
      </c>
      <c r="H48" s="772"/>
      <c r="I48" s="772"/>
      <c r="J48" s="772"/>
      <c r="K48" s="772"/>
      <c r="L48" s="772"/>
      <c r="M48" s="773"/>
      <c r="N48" s="322"/>
    </row>
    <row r="49" spans="2:14" s="300" customFormat="1">
      <c r="B49" s="322"/>
      <c r="C49" s="774" t="s">
        <v>347</v>
      </c>
      <c r="D49" s="775"/>
      <c r="E49" s="514"/>
      <c r="F49" s="368" t="str">
        <f>I237</f>
        <v>TBD</v>
      </c>
      <c r="G49" s="368" t="str">
        <f>J237</f>
        <v>TBD</v>
      </c>
      <c r="H49" s="772"/>
      <c r="I49" s="772"/>
      <c r="J49" s="772"/>
      <c r="K49" s="772"/>
      <c r="L49" s="772"/>
      <c r="M49" s="773"/>
      <c r="N49" s="322"/>
    </row>
    <row r="50" spans="2:14" s="300" customFormat="1">
      <c r="B50" s="322"/>
      <c r="C50" s="774" t="s">
        <v>348</v>
      </c>
      <c r="D50" s="775"/>
      <c r="E50" s="514"/>
      <c r="F50" s="368" t="str">
        <f>I254</f>
        <v>TBD</v>
      </c>
      <c r="G50" s="368" t="str">
        <f>J254</f>
        <v>TBD</v>
      </c>
      <c r="H50" s="772"/>
      <c r="I50" s="772"/>
      <c r="J50" s="772"/>
      <c r="K50" s="772"/>
      <c r="L50" s="772"/>
      <c r="M50" s="773"/>
      <c r="N50" s="322"/>
    </row>
    <row r="51" spans="2:14" s="300" customFormat="1">
      <c r="B51" s="322"/>
      <c r="C51" s="774" t="s">
        <v>65</v>
      </c>
      <c r="D51" s="775"/>
      <c r="E51" s="514"/>
      <c r="F51" s="368" t="str">
        <f>I255</f>
        <v>TBD</v>
      </c>
      <c r="G51" s="368" t="str">
        <f>J255</f>
        <v>TBD</v>
      </c>
      <c r="H51" s="772"/>
      <c r="I51" s="772"/>
      <c r="J51" s="772"/>
      <c r="K51" s="772"/>
      <c r="L51" s="772"/>
      <c r="M51" s="773"/>
      <c r="N51" s="322"/>
    </row>
    <row r="52" spans="2:14" s="300" customFormat="1">
      <c r="B52" s="322"/>
      <c r="C52" s="774" t="s">
        <v>540</v>
      </c>
      <c r="D52" s="775"/>
      <c r="E52" s="514"/>
      <c r="F52" s="368" t="str">
        <f>I273</f>
        <v>TBD</v>
      </c>
      <c r="G52" s="368" t="str">
        <f>J273</f>
        <v>TBD</v>
      </c>
      <c r="H52" s="772"/>
      <c r="I52" s="772"/>
      <c r="J52" s="772"/>
      <c r="K52" s="772"/>
      <c r="L52" s="772"/>
      <c r="M52" s="773"/>
      <c r="N52" s="322"/>
    </row>
    <row r="53" spans="2:14" s="300" customFormat="1">
      <c r="B53" s="322"/>
      <c r="C53" s="774" t="s">
        <v>542</v>
      </c>
      <c r="D53" s="775"/>
      <c r="E53" s="514"/>
      <c r="F53" s="368" t="str">
        <f>I276</f>
        <v>TBD</v>
      </c>
      <c r="G53" s="368" t="str">
        <f>J276</f>
        <v>TBD</v>
      </c>
      <c r="H53" s="772"/>
      <c r="I53" s="772"/>
      <c r="J53" s="772"/>
      <c r="K53" s="772"/>
      <c r="L53" s="772"/>
      <c r="M53" s="773"/>
      <c r="N53" s="322"/>
    </row>
    <row r="54" spans="2:14" s="300" customFormat="1">
      <c r="B54" s="322"/>
      <c r="C54" s="774">
        <v>8609</v>
      </c>
      <c r="D54" s="775"/>
      <c r="E54" s="514"/>
      <c r="F54" s="368" t="str">
        <f>I289</f>
        <v>TBD</v>
      </c>
      <c r="G54" s="368" t="str">
        <f>J289</f>
        <v>TBD</v>
      </c>
      <c r="H54" s="772"/>
      <c r="I54" s="772"/>
      <c r="J54" s="772"/>
      <c r="K54" s="772"/>
      <c r="L54" s="772"/>
      <c r="M54" s="773"/>
      <c r="N54" s="322"/>
    </row>
    <row r="55" spans="2:14" s="300" customFormat="1">
      <c r="B55" s="322"/>
      <c r="C55" s="774" t="s">
        <v>349</v>
      </c>
      <c r="D55" s="775"/>
      <c r="E55" s="344"/>
      <c r="F55" s="370" t="str">
        <f>I289</f>
        <v>TBD</v>
      </c>
      <c r="G55" s="371" t="str">
        <f>J289</f>
        <v>TBD</v>
      </c>
      <c r="H55" s="772"/>
      <c r="I55" s="772"/>
      <c r="J55" s="772"/>
      <c r="K55" s="772"/>
      <c r="L55" s="772"/>
      <c r="M55" s="773"/>
      <c r="N55" s="322"/>
    </row>
    <row r="56" spans="2:14" s="300" customFormat="1" ht="14">
      <c r="B56" s="322"/>
      <c r="C56" s="776" t="s">
        <v>69</v>
      </c>
      <c r="D56" s="777"/>
      <c r="E56" s="515"/>
      <c r="F56" s="338"/>
      <c r="G56" s="338"/>
      <c r="H56" s="772"/>
      <c r="I56" s="772"/>
      <c r="J56" s="772"/>
      <c r="K56" s="772"/>
      <c r="L56" s="772"/>
      <c r="M56" s="773"/>
      <c r="N56" s="322"/>
    </row>
    <row r="57" spans="2:14" s="300" customFormat="1" ht="14">
      <c r="B57" s="322"/>
      <c r="C57" s="770" t="s">
        <v>522</v>
      </c>
      <c r="D57" s="771"/>
      <c r="E57" s="515"/>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30" customHeight="1" thickBot="1">
      <c r="C63" s="538" t="s">
        <v>350</v>
      </c>
      <c r="D63" s="538"/>
      <c r="E63" s="538"/>
      <c r="F63" s="538"/>
      <c r="G63" s="122"/>
      <c r="H63" s="539"/>
      <c r="I63" s="847" t="str">
        <f>C2</f>
        <v>Milwaukee Greenwich Apartments</v>
      </c>
      <c r="J63" s="848"/>
      <c r="K63" s="17"/>
      <c r="L63" s="17"/>
      <c r="M63" s="8"/>
      <c r="N63" s="17"/>
    </row>
    <row r="64" spans="2:14" ht="16" thickBot="1">
      <c r="C64" s="308" t="s">
        <v>351</v>
      </c>
      <c r="D64" s="308"/>
      <c r="E64" s="308"/>
      <c r="F64" s="308"/>
      <c r="H64" s="363"/>
      <c r="I64" s="768" t="str">
        <f>F7</f>
        <v>Milwaukee</v>
      </c>
      <c r="J64" s="769"/>
      <c r="K64" s="17"/>
      <c r="L64" s="17"/>
      <c r="M64" s="8"/>
      <c r="N64" s="17"/>
    </row>
    <row r="65" spans="2:15" ht="16" thickBot="1">
      <c r="C65" s="308" t="s">
        <v>352</v>
      </c>
      <c r="D65" s="308"/>
      <c r="E65" s="308"/>
      <c r="F65" s="308"/>
      <c r="H65" s="363"/>
      <c r="I65" s="768" t="str">
        <f>C3</f>
        <v>D Lyon</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v>40954</v>
      </c>
      <c r="J70" s="332">
        <v>40954</v>
      </c>
    </row>
    <row r="71" spans="2:15">
      <c r="C71" s="2" t="s">
        <v>356</v>
      </c>
      <c r="D71" s="2"/>
      <c r="E71" s="2"/>
      <c r="F71" s="2"/>
      <c r="G71" s="2"/>
      <c r="H71" s="2"/>
      <c r="I71" s="332">
        <v>41274</v>
      </c>
      <c r="J71" s="332" t="s">
        <v>14</v>
      </c>
    </row>
    <row r="72" spans="2:15">
      <c r="C72" s="2" t="s">
        <v>357</v>
      </c>
      <c r="D72" s="2"/>
      <c r="E72" s="2"/>
      <c r="F72" s="2"/>
      <c r="G72" s="2"/>
      <c r="H72" s="2"/>
      <c r="I72" s="332">
        <v>41274</v>
      </c>
      <c r="J72" s="332" t="s">
        <v>14</v>
      </c>
    </row>
    <row r="73" spans="2:15">
      <c r="C73" s="2" t="s">
        <v>358</v>
      </c>
      <c r="D73" s="2"/>
      <c r="E73" s="2"/>
      <c r="F73" s="2"/>
      <c r="G73" s="2"/>
      <c r="H73" s="2"/>
      <c r="I73" s="332">
        <v>41274</v>
      </c>
      <c r="J73" s="332" t="s">
        <v>14</v>
      </c>
    </row>
    <row r="74" spans="2:15">
      <c r="C74" s="312" t="s">
        <v>359</v>
      </c>
      <c r="D74" s="312"/>
      <c r="E74" s="312"/>
      <c r="F74" s="312"/>
      <c r="G74" s="312"/>
      <c r="H74" s="312"/>
      <c r="I74" s="332">
        <v>41274</v>
      </c>
      <c r="J74" s="332" t="s">
        <v>14</v>
      </c>
    </row>
    <row r="75" spans="2:15">
      <c r="C75" s="2" t="s">
        <v>360</v>
      </c>
      <c r="D75" s="2"/>
      <c r="E75" s="2"/>
      <c r="F75" s="312"/>
      <c r="G75" s="312"/>
      <c r="H75" s="312"/>
      <c r="I75" s="332">
        <v>41274</v>
      </c>
      <c r="J75" s="332" t="s">
        <v>14</v>
      </c>
    </row>
    <row r="76" spans="2:15">
      <c r="C76" s="2" t="s">
        <v>361</v>
      </c>
      <c r="D76" s="2"/>
      <c r="E76" s="2"/>
      <c r="F76" s="312"/>
      <c r="G76" s="312"/>
      <c r="H76" s="312"/>
      <c r="I76" s="332">
        <v>41274</v>
      </c>
      <c r="J76" s="332" t="s">
        <v>14</v>
      </c>
    </row>
    <row r="77" spans="2:15">
      <c r="C77" s="2" t="s">
        <v>362</v>
      </c>
      <c r="D77" s="2"/>
      <c r="E77" s="2"/>
      <c r="F77" s="312"/>
      <c r="G77" s="312"/>
      <c r="H77" s="312"/>
      <c r="I77" s="534"/>
      <c r="J77" s="534"/>
    </row>
    <row r="78" spans="2:15">
      <c r="C78" s="312" t="s">
        <v>363</v>
      </c>
      <c r="D78" s="312"/>
      <c r="E78" s="312"/>
      <c r="F78" s="312"/>
      <c r="G78" s="312"/>
      <c r="H78" s="312"/>
      <c r="I78" s="332">
        <v>41072</v>
      </c>
      <c r="J78" s="332" t="s">
        <v>14</v>
      </c>
    </row>
    <row r="79" spans="2:15">
      <c r="C79" s="312" t="s">
        <v>364</v>
      </c>
      <c r="D79" s="312"/>
      <c r="E79" s="312"/>
      <c r="F79" s="312"/>
      <c r="G79" s="312"/>
      <c r="H79" s="312"/>
      <c r="I79" s="332">
        <v>41072</v>
      </c>
      <c r="J79" s="332" t="s">
        <v>14</v>
      </c>
    </row>
    <row r="80" spans="2:15">
      <c r="C80" s="312" t="s">
        <v>365</v>
      </c>
      <c r="D80" s="312"/>
      <c r="E80" s="312"/>
      <c r="F80" s="312"/>
      <c r="G80" s="312"/>
      <c r="H80" s="312"/>
      <c r="I80" s="332">
        <v>41072</v>
      </c>
      <c r="J80" s="332" t="s">
        <v>14</v>
      </c>
    </row>
    <row r="81" spans="2:10">
      <c r="C81" s="315" t="s">
        <v>366</v>
      </c>
      <c r="D81" s="315"/>
      <c r="E81" s="315"/>
      <c r="F81" s="314"/>
      <c r="G81" s="314"/>
      <c r="H81" s="314"/>
      <c r="I81" s="332">
        <v>41072</v>
      </c>
      <c r="J81" s="332" t="s">
        <v>14</v>
      </c>
    </row>
    <row r="82" spans="2:10">
      <c r="C82" s="2" t="s">
        <v>367</v>
      </c>
      <c r="D82" s="2"/>
      <c r="E82" s="2"/>
      <c r="F82" s="312"/>
      <c r="G82" s="312"/>
      <c r="H82" s="312"/>
      <c r="I82" s="534"/>
      <c r="J82" s="534"/>
    </row>
    <row r="83" spans="2:10">
      <c r="C83" s="312" t="s">
        <v>368</v>
      </c>
      <c r="D83" s="312"/>
      <c r="E83" s="312"/>
      <c r="F83" s="312"/>
      <c r="G83" s="312"/>
      <c r="H83" s="312"/>
      <c r="I83" s="332">
        <v>40908</v>
      </c>
      <c r="J83" s="332">
        <v>40908</v>
      </c>
    </row>
    <row r="84" spans="2:10">
      <c r="C84" s="312" t="s">
        <v>369</v>
      </c>
      <c r="D84" s="312"/>
      <c r="E84" s="312"/>
      <c r="F84" s="312"/>
      <c r="G84" s="312"/>
      <c r="H84" s="312"/>
      <c r="I84" s="332">
        <v>40908</v>
      </c>
      <c r="J84" s="332">
        <v>40908</v>
      </c>
    </row>
    <row r="85" spans="2:10">
      <c r="C85" s="312" t="s">
        <v>370</v>
      </c>
      <c r="D85" s="312"/>
      <c r="E85" s="312"/>
      <c r="F85" s="312"/>
      <c r="G85" s="312"/>
      <c r="H85" s="312"/>
      <c r="I85" s="332">
        <v>40908</v>
      </c>
      <c r="J85" s="332">
        <v>40908</v>
      </c>
    </row>
    <row r="86" spans="2:10">
      <c r="C86" s="2" t="s">
        <v>371</v>
      </c>
      <c r="D86" s="2"/>
      <c r="E86" s="2"/>
      <c r="F86" s="312"/>
      <c r="G86" s="312"/>
      <c r="H86" s="312"/>
      <c r="I86" s="332">
        <v>40908</v>
      </c>
      <c r="J86" s="332">
        <v>40908</v>
      </c>
    </row>
    <row r="87" spans="2:10">
      <c r="C87" s="2" t="s">
        <v>372</v>
      </c>
      <c r="D87" s="2"/>
      <c r="E87" s="2"/>
      <c r="F87" s="312"/>
      <c r="G87" s="312"/>
      <c r="H87" s="312"/>
      <c r="I87" s="332">
        <v>41072</v>
      </c>
      <c r="J87" s="332" t="s">
        <v>14</v>
      </c>
    </row>
    <row r="88" spans="2:10">
      <c r="C88" s="2" t="s">
        <v>373</v>
      </c>
      <c r="D88" s="2"/>
      <c r="E88" s="2"/>
      <c r="F88" s="312"/>
      <c r="G88" s="312"/>
      <c r="H88" s="312"/>
      <c r="I88" s="332">
        <v>41072</v>
      </c>
      <c r="J88" s="332" t="s">
        <v>14</v>
      </c>
    </row>
    <row r="89" spans="2:10">
      <c r="C89" s="2" t="s">
        <v>374</v>
      </c>
      <c r="D89" s="2"/>
      <c r="E89" s="2"/>
      <c r="F89" s="312"/>
      <c r="G89" s="312"/>
      <c r="H89" s="312"/>
      <c r="I89" s="332">
        <v>41072</v>
      </c>
      <c r="J89" s="332" t="s">
        <v>14</v>
      </c>
    </row>
    <row r="90" spans="2:10">
      <c r="C90" s="2" t="s">
        <v>375</v>
      </c>
      <c r="D90" s="2"/>
      <c r="E90" s="2"/>
      <c r="F90" s="312"/>
      <c r="G90" s="312"/>
      <c r="H90" s="312"/>
      <c r="I90" s="332">
        <v>41072</v>
      </c>
      <c r="J90" s="332" t="s">
        <v>14</v>
      </c>
    </row>
    <row r="91" spans="2:10">
      <c r="C91" s="2" t="s">
        <v>376</v>
      </c>
      <c r="D91" s="2"/>
      <c r="E91" s="2"/>
      <c r="F91" s="312"/>
      <c r="G91" s="312"/>
      <c r="H91" s="312"/>
      <c r="I91" s="332">
        <v>41072</v>
      </c>
      <c r="J91" s="332" t="s">
        <v>14</v>
      </c>
    </row>
    <row r="92" spans="2:10">
      <c r="C92" s="308" t="s">
        <v>377</v>
      </c>
      <c r="D92" s="308"/>
      <c r="E92" s="308"/>
      <c r="F92" s="312"/>
      <c r="G92" s="312"/>
      <c r="H92" s="312"/>
      <c r="I92" s="364">
        <v>40543</v>
      </c>
      <c r="J92" s="364">
        <v>40543</v>
      </c>
    </row>
    <row r="93" spans="2:10">
      <c r="C93" s="2"/>
      <c r="D93" s="2"/>
      <c r="E93" s="2"/>
      <c r="F93" s="312"/>
      <c r="G93" s="312"/>
      <c r="H93" s="312"/>
      <c r="I93" s="331"/>
      <c r="J93" s="331"/>
    </row>
    <row r="94" spans="2:10">
      <c r="B94" s="309" t="s">
        <v>378</v>
      </c>
      <c r="C94" s="308"/>
      <c r="D94" s="308"/>
      <c r="E94" s="308"/>
      <c r="F94" s="313"/>
      <c r="G94" s="313"/>
      <c r="H94" s="313"/>
      <c r="I94" s="364">
        <v>41072</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67</v>
      </c>
      <c r="J99" s="332" t="s">
        <v>67</v>
      </c>
    </row>
    <row r="100" spans="2:10">
      <c r="C100" s="2" t="s">
        <v>381</v>
      </c>
      <c r="D100" s="2"/>
      <c r="E100" s="2"/>
      <c r="F100" s="312"/>
      <c r="G100" s="312"/>
      <c r="H100" s="312"/>
      <c r="I100" s="332">
        <v>41275</v>
      </c>
      <c r="J100" s="332" t="s">
        <v>14</v>
      </c>
    </row>
    <row r="101" spans="2:10">
      <c r="C101" s="2" t="s">
        <v>382</v>
      </c>
      <c r="D101" s="2"/>
      <c r="E101" s="2"/>
      <c r="F101" s="312"/>
      <c r="G101" s="312"/>
      <c r="H101" s="312"/>
      <c r="I101" s="332" t="s">
        <v>67</v>
      </c>
      <c r="J101" s="332" t="s">
        <v>67</v>
      </c>
    </row>
    <row r="102" spans="2:10">
      <c r="C102" s="308" t="s">
        <v>534</v>
      </c>
      <c r="D102" s="2"/>
      <c r="E102" s="2"/>
      <c r="F102" s="312"/>
      <c r="G102" s="312"/>
      <c r="H102" s="312"/>
      <c r="I102" s="364">
        <v>41275</v>
      </c>
      <c r="J102" s="364" t="s">
        <v>14</v>
      </c>
    </row>
    <row r="103" spans="2:10">
      <c r="C103" s="2" t="s">
        <v>524</v>
      </c>
      <c r="D103" s="2"/>
      <c r="E103" s="2"/>
      <c r="F103" s="312"/>
      <c r="G103" s="312"/>
      <c r="H103" s="312"/>
      <c r="I103" s="332" t="s">
        <v>67</v>
      </c>
      <c r="J103" s="332" t="s">
        <v>67</v>
      </c>
    </row>
    <row r="104" spans="2:10">
      <c r="C104" s="2" t="s">
        <v>383</v>
      </c>
      <c r="D104" s="2"/>
      <c r="E104" s="2"/>
      <c r="F104" s="312"/>
      <c r="G104" s="312"/>
      <c r="H104" s="312"/>
      <c r="I104" s="332" t="s">
        <v>67</v>
      </c>
      <c r="J104" s="332" t="s">
        <v>67</v>
      </c>
    </row>
    <row r="105" spans="2:10">
      <c r="C105" s="2" t="s">
        <v>384</v>
      </c>
      <c r="D105" s="2"/>
      <c r="E105" s="2"/>
      <c r="F105" s="312"/>
      <c r="G105" s="312"/>
      <c r="H105" s="312"/>
      <c r="I105" s="332" t="s">
        <v>67</v>
      </c>
      <c r="J105" s="332" t="s">
        <v>67</v>
      </c>
    </row>
    <row r="106" spans="2:10">
      <c r="C106" s="2" t="s">
        <v>544</v>
      </c>
      <c r="D106" s="2"/>
      <c r="E106" s="2"/>
      <c r="F106" s="312"/>
      <c r="G106" s="312"/>
      <c r="H106" s="312"/>
      <c r="I106" s="332" t="s">
        <v>67</v>
      </c>
      <c r="J106" s="332" t="s">
        <v>67</v>
      </c>
    </row>
    <row r="107" spans="2:10">
      <c r="C107" s="2" t="s">
        <v>385</v>
      </c>
      <c r="D107" s="2"/>
      <c r="E107" s="2"/>
      <c r="F107" s="312"/>
      <c r="G107" s="312"/>
      <c r="H107" s="312"/>
      <c r="I107" s="332" t="s">
        <v>67</v>
      </c>
      <c r="J107" s="332" t="s">
        <v>67</v>
      </c>
    </row>
    <row r="108" spans="2:10">
      <c r="C108" s="2" t="s">
        <v>386</v>
      </c>
      <c r="D108" s="2"/>
      <c r="E108" s="2"/>
      <c r="F108" s="312"/>
      <c r="G108" s="312"/>
      <c r="H108" s="312"/>
      <c r="I108" s="332" t="s">
        <v>67</v>
      </c>
      <c r="J108" s="332" t="s">
        <v>67</v>
      </c>
    </row>
    <row r="109" spans="2:10">
      <c r="C109" s="2" t="s">
        <v>523</v>
      </c>
      <c r="D109" s="2"/>
      <c r="E109" s="2"/>
      <c r="F109" s="312"/>
      <c r="G109" s="312"/>
      <c r="H109" s="312"/>
      <c r="I109" s="332" t="s">
        <v>67</v>
      </c>
      <c r="J109" s="332" t="s">
        <v>67</v>
      </c>
    </row>
    <row r="110" spans="2:10">
      <c r="C110" s="308" t="s">
        <v>526</v>
      </c>
      <c r="D110" s="2"/>
      <c r="E110" s="2"/>
      <c r="F110" s="312"/>
      <c r="G110" s="312"/>
      <c r="H110" s="312"/>
      <c r="I110" s="364">
        <v>41275</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v>41061</v>
      </c>
      <c r="J115" s="332" t="s">
        <v>14</v>
      </c>
    </row>
    <row r="116" spans="3:10">
      <c r="C116" s="315" t="s">
        <v>342</v>
      </c>
      <c r="D116" s="315"/>
      <c r="E116" s="315"/>
      <c r="F116" s="315"/>
      <c r="G116" s="315"/>
      <c r="H116" s="315"/>
      <c r="I116" s="332">
        <v>41061</v>
      </c>
      <c r="J116" s="332" t="s">
        <v>14</v>
      </c>
    </row>
    <row r="117" spans="3:10">
      <c r="C117" s="315" t="s">
        <v>390</v>
      </c>
      <c r="D117" s="315"/>
      <c r="E117" s="315"/>
      <c r="F117" s="315"/>
      <c r="G117" s="315"/>
      <c r="H117" s="315"/>
      <c r="I117" s="332">
        <v>41061</v>
      </c>
      <c r="J117" s="332" t="s">
        <v>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t="s">
        <v>14</v>
      </c>
      <c r="J120" s="332" t="s">
        <v>14</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534"/>
      <c r="J123" s="534"/>
    </row>
    <row r="124" spans="3:10">
      <c r="C124" s="315" t="s">
        <v>392</v>
      </c>
      <c r="D124" s="315"/>
      <c r="E124" s="315"/>
      <c r="F124" s="315"/>
      <c r="G124" s="315"/>
      <c r="H124" s="315"/>
      <c r="I124" s="332" t="s">
        <v>14</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534"/>
      <c r="J128" s="534"/>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v>40908</v>
      </c>
      <c r="J134" s="332">
        <v>40908</v>
      </c>
    </row>
    <row r="135" spans="2:10">
      <c r="C135" s="2" t="s">
        <v>398</v>
      </c>
      <c r="D135" s="2"/>
      <c r="E135" s="2"/>
      <c r="F135" s="312"/>
      <c r="G135" s="312"/>
      <c r="H135" s="312"/>
      <c r="I135" s="332">
        <v>40908</v>
      </c>
      <c r="J135" s="332">
        <v>40908</v>
      </c>
    </row>
    <row r="136" spans="2:10">
      <c r="C136" s="2" t="s">
        <v>399</v>
      </c>
      <c r="D136" s="2"/>
      <c r="E136" s="2"/>
      <c r="F136" s="312"/>
      <c r="G136" s="312"/>
      <c r="H136" s="312"/>
      <c r="I136" s="332"/>
      <c r="J136" s="332"/>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332" t="s">
        <v>14</v>
      </c>
      <c r="J139" s="332" t="s">
        <v>14</v>
      </c>
    </row>
    <row r="140" spans="2:10">
      <c r="C140" s="2" t="s">
        <v>402</v>
      </c>
      <c r="D140" s="2"/>
      <c r="E140" s="2"/>
      <c r="F140" s="312"/>
      <c r="G140" s="312"/>
      <c r="H140" s="312"/>
      <c r="I140" s="332"/>
      <c r="J140" s="332"/>
    </row>
    <row r="141" spans="2:10">
      <c r="C141" s="312" t="s">
        <v>403</v>
      </c>
      <c r="D141" s="312"/>
      <c r="E141" s="312"/>
      <c r="F141" s="312"/>
      <c r="G141" s="312"/>
      <c r="H141" s="312"/>
      <c r="I141" s="332" t="s">
        <v>14</v>
      </c>
      <c r="J141" s="332" t="s">
        <v>14</v>
      </c>
    </row>
    <row r="142" spans="2:10">
      <c r="C142" s="312" t="s">
        <v>404</v>
      </c>
      <c r="D142" s="312"/>
      <c r="E142" s="312"/>
      <c r="F142" s="312"/>
      <c r="G142" s="312"/>
      <c r="H142" s="312"/>
      <c r="I142" s="332" t="s">
        <v>14</v>
      </c>
      <c r="J142" s="332" t="s">
        <v>14</v>
      </c>
    </row>
    <row r="143" spans="2:10">
      <c r="C143" s="312" t="s">
        <v>405</v>
      </c>
      <c r="D143" s="312"/>
      <c r="E143" s="312"/>
      <c r="F143" s="312"/>
      <c r="G143" s="312"/>
      <c r="H143" s="312"/>
      <c r="I143" s="332" t="s">
        <v>14</v>
      </c>
      <c r="J143" s="332" t="s">
        <v>14</v>
      </c>
    </row>
    <row r="144" spans="2:10">
      <c r="C144" s="2" t="s">
        <v>406</v>
      </c>
      <c r="D144" s="2"/>
      <c r="E144" s="2"/>
      <c r="F144" s="312"/>
      <c r="G144" s="312"/>
      <c r="H144" s="312"/>
      <c r="I144" s="332"/>
      <c r="J144" s="332"/>
    </row>
    <row r="145" spans="3:10">
      <c r="C145" s="2" t="s">
        <v>407</v>
      </c>
      <c r="D145" s="2"/>
      <c r="E145" s="2"/>
      <c r="F145" s="312"/>
      <c r="G145" s="312"/>
      <c r="H145" s="312"/>
      <c r="I145" s="332"/>
      <c r="J145" s="332"/>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2"/>
      <c r="J148" s="332"/>
    </row>
    <row r="149" spans="3:10">
      <c r="C149" s="312" t="s">
        <v>411</v>
      </c>
      <c r="D149" s="312"/>
      <c r="E149" s="312"/>
      <c r="F149" s="312"/>
      <c r="G149" s="312"/>
      <c r="H149" s="312"/>
      <c r="I149" s="332" t="s">
        <v>14</v>
      </c>
      <c r="J149" s="332" t="s">
        <v>14</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2"/>
      <c r="J154" s="332"/>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2"/>
      <c r="J156" s="332"/>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2"/>
      <c r="J162" s="332"/>
    </row>
    <row r="163" spans="3:10">
      <c r="C163" s="312" t="s">
        <v>425</v>
      </c>
      <c r="D163" s="312"/>
      <c r="E163" s="312"/>
      <c r="F163" s="312"/>
      <c r="G163" s="312"/>
      <c r="H163" s="312"/>
      <c r="I163" s="332">
        <v>41061</v>
      </c>
      <c r="J163" s="332">
        <v>41061</v>
      </c>
    </row>
    <row r="164" spans="3:10">
      <c r="C164" s="312" t="s">
        <v>426</v>
      </c>
      <c r="D164" s="312"/>
      <c r="E164" s="312"/>
      <c r="F164" s="312"/>
      <c r="G164" s="312"/>
      <c r="H164" s="312"/>
      <c r="I164" s="332">
        <v>41061</v>
      </c>
      <c r="J164" s="332">
        <v>41061</v>
      </c>
    </row>
    <row r="165" spans="3:10">
      <c r="C165" s="315" t="s">
        <v>427</v>
      </c>
      <c r="D165" s="315"/>
      <c r="E165" s="315"/>
      <c r="F165" s="315"/>
      <c r="G165" s="315"/>
      <c r="H165" s="315"/>
      <c r="I165" s="332">
        <v>41061</v>
      </c>
      <c r="J165" s="332">
        <v>41061</v>
      </c>
    </row>
    <row r="166" spans="3:10">
      <c r="C166" s="315" t="s">
        <v>428</v>
      </c>
      <c r="D166" s="315"/>
      <c r="E166" s="315"/>
      <c r="F166" s="315"/>
      <c r="G166" s="315"/>
      <c r="H166" s="315"/>
      <c r="I166" s="332">
        <v>41061</v>
      </c>
      <c r="J166" s="332">
        <v>41061</v>
      </c>
    </row>
    <row r="167" spans="3:10">
      <c r="C167" s="312" t="s">
        <v>429</v>
      </c>
      <c r="D167" s="312"/>
      <c r="E167" s="312"/>
      <c r="F167" s="312"/>
      <c r="G167" s="312"/>
      <c r="H167" s="312"/>
      <c r="I167" s="332"/>
      <c r="J167" s="332"/>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2"/>
      <c r="J170" s="332"/>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2"/>
      <c r="J173" s="332"/>
    </row>
    <row r="174" spans="3:10">
      <c r="C174" s="315" t="s">
        <v>432</v>
      </c>
      <c r="D174" s="315"/>
      <c r="E174" s="315"/>
      <c r="F174" s="315"/>
      <c r="G174" s="315"/>
      <c r="H174" s="315"/>
      <c r="I174" s="332" t="s">
        <v>67</v>
      </c>
      <c r="J174" s="332" t="s">
        <v>67</v>
      </c>
    </row>
    <row r="175" spans="3:10">
      <c r="C175" s="315" t="s">
        <v>433</v>
      </c>
      <c r="D175" s="315"/>
      <c r="E175" s="315"/>
      <c r="F175" s="315"/>
      <c r="G175" s="315"/>
      <c r="H175" s="315"/>
      <c r="I175" s="332" t="s">
        <v>67</v>
      </c>
      <c r="J175" s="332" t="s">
        <v>67</v>
      </c>
    </row>
    <row r="176" spans="3:10">
      <c r="C176" s="315" t="s">
        <v>434</v>
      </c>
      <c r="D176" s="315"/>
      <c r="E176" s="315"/>
      <c r="F176" s="315"/>
      <c r="G176" s="315"/>
      <c r="H176" s="315"/>
      <c r="I176" s="332" t="s">
        <v>67</v>
      </c>
      <c r="J176" s="332" t="s">
        <v>67</v>
      </c>
    </row>
    <row r="177" spans="3:10">
      <c r="C177" s="315" t="s">
        <v>435</v>
      </c>
      <c r="D177" s="315"/>
      <c r="E177" s="315"/>
      <c r="F177" s="315"/>
      <c r="G177" s="315"/>
      <c r="H177" s="315"/>
      <c r="I177" s="332" t="s">
        <v>67</v>
      </c>
      <c r="J177" s="332" t="s">
        <v>67</v>
      </c>
    </row>
    <row r="178" spans="3:10">
      <c r="C178" s="310" t="s">
        <v>422</v>
      </c>
      <c r="D178" s="310"/>
      <c r="E178" s="310"/>
      <c r="F178" s="312"/>
      <c r="G178" s="312"/>
      <c r="H178" s="312"/>
      <c r="I178" s="332"/>
      <c r="J178" s="332"/>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2"/>
      <c r="J187" s="332"/>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2" t="s">
        <v>14</v>
      </c>
      <c r="J193" s="332" t="s">
        <v>14</v>
      </c>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2" t="s">
        <v>14</v>
      </c>
      <c r="J210" s="332" t="s">
        <v>14</v>
      </c>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v>41609</v>
      </c>
      <c r="J225" s="364">
        <v>41609</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332" t="s">
        <v>14</v>
      </c>
    </row>
    <row r="231" spans="2:10">
      <c r="C231" s="312" t="s">
        <v>477</v>
      </c>
      <c r="D231" s="312"/>
      <c r="E231" s="312"/>
      <c r="F231" s="312"/>
      <c r="G231" s="312"/>
      <c r="H231" s="312"/>
      <c r="I231" s="332" t="s">
        <v>14</v>
      </c>
      <c r="J231" s="332" t="s">
        <v>14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t="s">
        <v>14</v>
      </c>
      <c r="J235" s="364" t="s">
        <v>14</v>
      </c>
    </row>
    <row r="236" spans="2:10">
      <c r="C236" s="308" t="s">
        <v>480</v>
      </c>
      <c r="D236" s="2"/>
      <c r="E236" s="2"/>
      <c r="F236" s="312"/>
      <c r="G236" s="312"/>
      <c r="H236" s="312"/>
      <c r="I236" s="332" t="s">
        <v>14</v>
      </c>
      <c r="J236" s="332" t="s">
        <v>14</v>
      </c>
    </row>
    <row r="237" spans="2:10">
      <c r="C237" s="2" t="s">
        <v>481</v>
      </c>
      <c r="D237" s="2"/>
      <c r="E237" s="2"/>
      <c r="F237" s="312"/>
      <c r="G237" s="312"/>
      <c r="H237" s="312"/>
      <c r="I237" s="364" t="s">
        <v>14</v>
      </c>
      <c r="J237" s="364" t="s">
        <v>14</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14</v>
      </c>
      <c r="J253" s="332" t="s">
        <v>14</v>
      </c>
    </row>
    <row r="254" spans="2:10">
      <c r="C254" s="308" t="s">
        <v>539</v>
      </c>
      <c r="D254" s="2"/>
      <c r="E254" s="2"/>
      <c r="F254" s="312"/>
      <c r="G254" s="312"/>
      <c r="H254" s="312"/>
      <c r="I254" s="364" t="s">
        <v>14</v>
      </c>
      <c r="J254" s="364" t="s">
        <v>14</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67</v>
      </c>
      <c r="J267" s="332" t="s">
        <v>67</v>
      </c>
    </row>
    <row r="268" spans="2:10">
      <c r="C268" s="312" t="s">
        <v>495</v>
      </c>
      <c r="D268" s="312"/>
      <c r="E268" s="312"/>
      <c r="F268" s="312"/>
      <c r="G268" s="312"/>
      <c r="H268" s="312"/>
      <c r="I268" s="332" t="s">
        <v>67</v>
      </c>
      <c r="J268" s="332" t="s">
        <v>67</v>
      </c>
    </row>
    <row r="269" spans="2:10">
      <c r="C269" s="312" t="s">
        <v>496</v>
      </c>
      <c r="D269" s="312"/>
      <c r="E269" s="312"/>
      <c r="F269" s="312"/>
      <c r="G269" s="312"/>
      <c r="H269" s="312"/>
      <c r="I269" s="332" t="s">
        <v>67</v>
      </c>
      <c r="J269" s="332" t="s">
        <v>67</v>
      </c>
    </row>
    <row r="270" spans="2:10">
      <c r="C270" s="312" t="s">
        <v>497</v>
      </c>
      <c r="D270" s="312"/>
      <c r="E270" s="312"/>
      <c r="F270" s="312"/>
      <c r="G270" s="312"/>
      <c r="H270" s="312"/>
      <c r="I270" s="332" t="s">
        <v>67</v>
      </c>
      <c r="J270" s="332" t="s">
        <v>67</v>
      </c>
    </row>
    <row r="271" spans="2:10">
      <c r="C271" s="312" t="s">
        <v>498</v>
      </c>
      <c r="D271" s="312"/>
      <c r="E271" s="312"/>
      <c r="F271" s="312"/>
      <c r="G271" s="312"/>
      <c r="H271" s="312"/>
      <c r="I271" s="332" t="s">
        <v>67</v>
      </c>
      <c r="J271" s="332" t="s">
        <v>67</v>
      </c>
    </row>
    <row r="272" spans="2:10">
      <c r="C272" s="312" t="s">
        <v>499</v>
      </c>
      <c r="D272" s="312"/>
      <c r="E272" s="312"/>
      <c r="F272" s="312"/>
      <c r="G272" s="312"/>
      <c r="H272" s="312"/>
      <c r="I272" s="332" t="s">
        <v>67</v>
      </c>
      <c r="J272" s="332" t="s">
        <v>67</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540"/>
      <c r="J275" s="540"/>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K291" s="2"/>
      <c r="L291" s="2"/>
      <c r="M291" s="301"/>
      <c r="N291" s="2"/>
      <c r="O291" s="301"/>
    </row>
  </sheetData>
  <sheetProtection selectLockedCells="1"/>
  <mergeCells count="109">
    <mergeCell ref="I65:J65"/>
    <mergeCell ref="C57:D57"/>
    <mergeCell ref="H57:M57"/>
    <mergeCell ref="C58:D58"/>
    <mergeCell ref="H58:M58"/>
    <mergeCell ref="I63:J63"/>
    <mergeCell ref="I64:J64"/>
    <mergeCell ref="C54:D54"/>
    <mergeCell ref="H54:M54"/>
    <mergeCell ref="C55:D55"/>
    <mergeCell ref="H55:M55"/>
    <mergeCell ref="C56:D56"/>
    <mergeCell ref="H56:M56"/>
    <mergeCell ref="C51:D51"/>
    <mergeCell ref="H51:M51"/>
    <mergeCell ref="C52:D52"/>
    <mergeCell ref="H52:M52"/>
    <mergeCell ref="C53:D53"/>
    <mergeCell ref="H53:M53"/>
    <mergeCell ref="C48:D48"/>
    <mergeCell ref="H48:M48"/>
    <mergeCell ref="C49:D49"/>
    <mergeCell ref="H49:M49"/>
    <mergeCell ref="C50:D50"/>
    <mergeCell ref="H50:M50"/>
    <mergeCell ref="C45:D45"/>
    <mergeCell ref="H45:M45"/>
    <mergeCell ref="C46:D46"/>
    <mergeCell ref="H46:M46"/>
    <mergeCell ref="C47:D47"/>
    <mergeCell ref="H47:M47"/>
    <mergeCell ref="C42:D42"/>
    <mergeCell ref="H42:M42"/>
    <mergeCell ref="C43:D43"/>
    <mergeCell ref="H43:M43"/>
    <mergeCell ref="C44:D44"/>
    <mergeCell ref="H44:M44"/>
    <mergeCell ref="C39:D39"/>
    <mergeCell ref="H39:M39"/>
    <mergeCell ref="C40:D40"/>
    <mergeCell ref="H40:M40"/>
    <mergeCell ref="C41:D41"/>
    <mergeCell ref="H41:M41"/>
    <mergeCell ref="C24:D24"/>
    <mergeCell ref="F24:G24"/>
    <mergeCell ref="K24:M24"/>
    <mergeCell ref="C27:M34"/>
    <mergeCell ref="H37:M37"/>
    <mergeCell ref="C38:D38"/>
    <mergeCell ref="H38:M38"/>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2">
    <tabColor rgb="FF00B0F0"/>
  </sheetPr>
  <dimension ref="B1:U291"/>
  <sheetViews>
    <sheetView topLeftCell="A4" workbookViewId="0">
      <selection activeCell="L12" sqref="L12:M12"/>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Detail!A35</f>
        <v>YMCA Austin</v>
      </c>
      <c r="D2" s="341"/>
      <c r="E2" s="341"/>
      <c r="F2" s="120"/>
      <c r="G2" s="120"/>
      <c r="H2" s="120"/>
      <c r="I2" s="120"/>
      <c r="J2" s="120"/>
      <c r="K2" s="120"/>
      <c r="L2" s="120"/>
      <c r="M2" s="121"/>
      <c r="N2" s="319"/>
    </row>
    <row r="3" spans="2:21" s="122" customFormat="1" ht="20.25" customHeight="1" thickBot="1">
      <c r="B3" s="319"/>
      <c r="C3" s="136" t="str">
        <f>Detail!B35</f>
        <v>L Brace</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Detail!V35</f>
        <v>Special Needs (PSH)</v>
      </c>
      <c r="G6" s="836"/>
      <c r="H6" s="357"/>
      <c r="I6" s="833" t="s">
        <v>219</v>
      </c>
      <c r="J6" s="834"/>
      <c r="K6" s="834"/>
      <c r="L6" s="837" t="str">
        <f>Detail!I35</f>
        <v>LIHTC - 9%</v>
      </c>
      <c r="M6" s="838"/>
      <c r="N6" s="318"/>
    </row>
    <row r="7" spans="2:21" ht="17.25" customHeight="1">
      <c r="B7" s="318"/>
      <c r="C7" s="796" t="s">
        <v>214</v>
      </c>
      <c r="D7" s="797"/>
      <c r="E7" s="352"/>
      <c r="F7" s="819" t="str">
        <f>Detail!C35</f>
        <v>Chicago</v>
      </c>
      <c r="G7" s="820"/>
      <c r="H7" s="357"/>
      <c r="I7" s="796" t="s">
        <v>183</v>
      </c>
      <c r="J7" s="797"/>
      <c r="K7" s="797"/>
      <c r="L7" s="830" t="str">
        <f>Detail!J35</f>
        <v>TBD</v>
      </c>
      <c r="M7" s="831"/>
      <c r="N7" s="318"/>
    </row>
    <row r="8" spans="2:21">
      <c r="B8" s="318"/>
      <c r="C8" s="796" t="s">
        <v>9</v>
      </c>
      <c r="D8" s="797"/>
      <c r="E8" s="352"/>
      <c r="F8" s="819" t="str">
        <f>Detail!D35</f>
        <v>New Construction</v>
      </c>
      <c r="G8" s="820"/>
      <c r="H8" s="357"/>
      <c r="I8" s="796" t="s">
        <v>184</v>
      </c>
      <c r="J8" s="797"/>
      <c r="K8" s="797"/>
      <c r="L8" s="830" t="str">
        <f>Detail!K35</f>
        <v>TBD</v>
      </c>
      <c r="M8" s="831"/>
      <c r="N8" s="318"/>
    </row>
    <row r="9" spans="2:21" ht="34.5" customHeight="1">
      <c r="B9" s="318"/>
      <c r="C9" s="796" t="s">
        <v>215</v>
      </c>
      <c r="D9" s="797"/>
      <c r="E9" s="353"/>
      <c r="F9" s="832">
        <f>Detail!T35</f>
        <v>160</v>
      </c>
      <c r="G9" s="820"/>
      <c r="H9" s="357"/>
      <c r="I9" s="796" t="s">
        <v>185</v>
      </c>
      <c r="J9" s="797"/>
      <c r="K9" s="797"/>
      <c r="L9" s="830" t="str">
        <f>Detail!L35</f>
        <v>TBD</v>
      </c>
      <c r="M9" s="831"/>
      <c r="N9" s="318"/>
    </row>
    <row r="10" spans="2:21" ht="17.25" customHeight="1">
      <c r="B10" s="318"/>
      <c r="C10" s="796" t="s">
        <v>216</v>
      </c>
      <c r="D10" s="797"/>
      <c r="E10" s="352"/>
      <c r="F10" s="819" t="str">
        <f>Detail!V35</f>
        <v>Special Needs (PSH)</v>
      </c>
      <c r="G10" s="820"/>
      <c r="H10" s="357"/>
      <c r="I10" s="796" t="s">
        <v>44</v>
      </c>
      <c r="J10" s="797"/>
      <c r="K10" s="797"/>
      <c r="L10" s="800">
        <f>Detail!AB35</f>
        <v>32000000</v>
      </c>
      <c r="M10" s="801"/>
      <c r="N10" s="318"/>
    </row>
    <row r="11" spans="2:21" ht="17.25" customHeight="1">
      <c r="B11" s="318"/>
      <c r="C11" s="361"/>
      <c r="D11" s="362"/>
      <c r="E11" s="352"/>
      <c r="F11" s="819" t="str">
        <f>Detail!W35</f>
        <v>Homeless</v>
      </c>
      <c r="G11" s="820"/>
      <c r="H11" s="357"/>
      <c r="I11" s="796" t="s">
        <v>602</v>
      </c>
      <c r="J11" s="797"/>
      <c r="K11" s="512"/>
      <c r="L11" s="828" t="str">
        <f>Detail!AG35</f>
        <v>TBD</v>
      </c>
      <c r="M11" s="829"/>
      <c r="N11" s="318"/>
    </row>
    <row r="12" spans="2:21">
      <c r="B12" s="318"/>
      <c r="C12" s="361"/>
      <c r="D12" s="362"/>
      <c r="E12" s="352"/>
      <c r="F12" s="819" t="str">
        <f>Detail!X35</f>
        <v>Dual Diagnosis</v>
      </c>
      <c r="G12" s="820"/>
      <c r="H12" s="357"/>
      <c r="I12" s="796" t="s">
        <v>603</v>
      </c>
      <c r="J12" s="797"/>
      <c r="K12" s="797"/>
      <c r="L12" s="828" t="str">
        <f>Detail!N35</f>
        <v>TBD</v>
      </c>
      <c r="M12" s="829"/>
      <c r="N12" s="318"/>
    </row>
    <row r="13" spans="2:21" ht="17.25" customHeight="1">
      <c r="B13" s="318"/>
      <c r="C13" s="796" t="s">
        <v>525</v>
      </c>
      <c r="D13" s="797"/>
      <c r="E13" s="354"/>
      <c r="F13" s="827" t="str">
        <f>Detail!AM35</f>
        <v>MHMG</v>
      </c>
      <c r="G13" s="820"/>
      <c r="H13" s="357"/>
      <c r="I13" s="796" t="s">
        <v>256</v>
      </c>
      <c r="J13" s="797"/>
      <c r="K13" s="797"/>
      <c r="L13" s="800">
        <f>Detail!AC35</f>
        <v>24000000</v>
      </c>
      <c r="M13" s="801"/>
      <c r="N13" s="318"/>
    </row>
    <row r="14" spans="2:21" ht="17.25" customHeight="1">
      <c r="B14" s="318"/>
      <c r="C14" s="796" t="s">
        <v>172</v>
      </c>
      <c r="D14" s="797"/>
      <c r="E14" s="352"/>
      <c r="F14" s="819" t="str">
        <f>Detail!Z35</f>
        <v>Case Management - In House</v>
      </c>
      <c r="G14" s="820"/>
      <c r="H14" s="357"/>
      <c r="I14" s="796" t="s">
        <v>257</v>
      </c>
      <c r="J14" s="797"/>
      <c r="K14" s="797"/>
      <c r="L14" s="800">
        <f>Detail!AF35</f>
        <v>18720000</v>
      </c>
      <c r="M14" s="801"/>
      <c r="N14" s="318"/>
    </row>
    <row r="15" spans="2:21" ht="17.25" customHeight="1" thickBot="1">
      <c r="B15" s="318"/>
      <c r="C15" s="796" t="s">
        <v>217</v>
      </c>
      <c r="D15" s="797"/>
      <c r="E15" s="355"/>
      <c r="F15" s="819" t="str">
        <f>Detail!AA35</f>
        <v>TBD</v>
      </c>
      <c r="G15" s="820"/>
      <c r="H15" s="357"/>
      <c r="I15" s="821" t="s">
        <v>255</v>
      </c>
      <c r="J15" s="822"/>
      <c r="K15" s="822"/>
      <c r="L15" s="823">
        <f>Detail!AD35</f>
        <v>2400000</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Detail!AH35</f>
        <v>3103999.9999999995</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Detail!AJ35</f>
        <v>999999.99999999953</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Detail!AI35</f>
        <v>2104000</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6" thickTop="1">
      <c r="B21" s="320"/>
      <c r="C21" s="804" t="s">
        <v>46</v>
      </c>
      <c r="D21" s="805"/>
      <c r="E21" s="349"/>
      <c r="F21" s="806" t="str">
        <f>Detail!F35</f>
        <v>Prospect</v>
      </c>
      <c r="G21" s="807"/>
      <c r="H21" s="359"/>
      <c r="I21" s="804" t="s">
        <v>226</v>
      </c>
      <c r="J21" s="805"/>
      <c r="K21" s="805"/>
      <c r="L21" s="808">
        <f>Detail!Q35</f>
        <v>0</v>
      </c>
      <c r="M21" s="809"/>
      <c r="N21" s="320"/>
    </row>
    <row r="22" spans="2:21" s="88" customFormat="1" ht="17.25" customHeight="1">
      <c r="B22" s="320"/>
      <c r="C22" s="796" t="s">
        <v>223</v>
      </c>
      <c r="D22" s="797"/>
      <c r="E22" s="348"/>
      <c r="F22" s="798">
        <f>Detail!P35</f>
        <v>41548</v>
      </c>
      <c r="G22" s="799"/>
      <c r="H22" s="359"/>
      <c r="I22" s="796" t="s">
        <v>227</v>
      </c>
      <c r="J22" s="797"/>
      <c r="K22" s="797"/>
      <c r="L22" s="800">
        <f>Detail!AO35+Detail!AP35+Detail!AQ35+Detail!AR35</f>
        <v>0</v>
      </c>
      <c r="M22" s="801"/>
      <c r="N22" s="320"/>
    </row>
    <row r="23" spans="2:21" s="88" customFormat="1" ht="17.25" customHeight="1">
      <c r="B23" s="320"/>
      <c r="C23" s="796" t="s">
        <v>224</v>
      </c>
      <c r="D23" s="797"/>
      <c r="E23" s="348"/>
      <c r="F23" s="798">
        <f>Detail!R35</f>
        <v>41548</v>
      </c>
      <c r="G23" s="799"/>
      <c r="H23" s="359"/>
      <c r="I23" s="796" t="s">
        <v>228</v>
      </c>
      <c r="J23" s="797"/>
      <c r="K23" s="797"/>
      <c r="L23" s="800">
        <f>Detail!BG35</f>
        <v>0</v>
      </c>
      <c r="M23" s="801"/>
      <c r="N23" s="320"/>
    </row>
    <row r="24" spans="2:21" s="88" customFormat="1" ht="17.25" customHeight="1" thickBot="1">
      <c r="B24" s="320"/>
      <c r="C24" s="778" t="s">
        <v>225</v>
      </c>
      <c r="D24" s="779"/>
      <c r="E24" s="513"/>
      <c r="F24" s="780">
        <f>Detail!S35</f>
        <v>42095</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YMCA Austin</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c r="B38" s="322"/>
      <c r="C38" s="792" t="s">
        <v>514</v>
      </c>
      <c r="D38" s="793"/>
      <c r="E38" s="344"/>
      <c r="F38" s="368" t="str">
        <f>I92</f>
        <v>TBD</v>
      </c>
      <c r="G38" s="368" t="str">
        <f>J92</f>
        <v>TBD</v>
      </c>
      <c r="H38" s="794"/>
      <c r="I38" s="794"/>
      <c r="J38" s="794"/>
      <c r="K38" s="794"/>
      <c r="L38" s="794"/>
      <c r="M38" s="795"/>
      <c r="N38" s="322"/>
    </row>
    <row r="39" spans="2:19" s="300" customFormat="1" ht="12.75" customHeight="1">
      <c r="B39" s="322"/>
      <c r="C39" s="774" t="s">
        <v>516</v>
      </c>
      <c r="D39" s="775"/>
      <c r="E39" s="514"/>
      <c r="F39" s="368" t="str">
        <f>I94</f>
        <v>TBD</v>
      </c>
      <c r="G39" s="369" t="str">
        <f>J94</f>
        <v>TBD</v>
      </c>
      <c r="H39" s="772"/>
      <c r="I39" s="772"/>
      <c r="J39" s="772"/>
      <c r="K39" s="772"/>
      <c r="L39" s="772"/>
      <c r="M39" s="773"/>
      <c r="N39" s="322"/>
    </row>
    <row r="40" spans="2:19" s="300" customFormat="1">
      <c r="B40" s="322"/>
      <c r="C40" s="774" t="s">
        <v>344</v>
      </c>
      <c r="D40" s="775"/>
      <c r="E40" s="514"/>
      <c r="F40" s="368" t="str">
        <f>I96</f>
        <v>TBD</v>
      </c>
      <c r="G40" s="368" t="str">
        <f>J96</f>
        <v>TBD</v>
      </c>
      <c r="H40" s="772"/>
      <c r="I40" s="772"/>
      <c r="J40" s="772"/>
      <c r="K40" s="772"/>
      <c r="L40" s="772"/>
      <c r="M40" s="773"/>
      <c r="N40" s="322"/>
    </row>
    <row r="41" spans="2:19" s="300" customFormat="1" ht="12.75" customHeight="1">
      <c r="B41" s="322"/>
      <c r="C41" s="774" t="s">
        <v>535</v>
      </c>
      <c r="D41" s="775"/>
      <c r="E41" s="514"/>
      <c r="F41" s="368" t="str">
        <f>'YMCA Austin'!I102</f>
        <v>TBD</v>
      </c>
      <c r="G41" s="368" t="str">
        <f>J102</f>
        <v>TBD</v>
      </c>
      <c r="H41" s="772"/>
      <c r="I41" s="772"/>
      <c r="J41" s="772"/>
      <c r="K41" s="772"/>
      <c r="L41" s="772"/>
      <c r="M41" s="773"/>
      <c r="N41" s="322"/>
      <c r="P41" s="358"/>
      <c r="Q41" s="358"/>
      <c r="R41" s="358"/>
      <c r="S41" s="358"/>
    </row>
    <row r="42" spans="2:19" s="300" customFormat="1">
      <c r="B42" s="322"/>
      <c r="C42" s="774" t="s">
        <v>536</v>
      </c>
      <c r="D42" s="775"/>
      <c r="E42" s="514"/>
      <c r="F42" s="368" t="str">
        <f>I110</f>
        <v>TBD</v>
      </c>
      <c r="G42" s="368" t="str">
        <f>J110</f>
        <v>TBD</v>
      </c>
      <c r="H42" s="772"/>
      <c r="I42" s="772"/>
      <c r="J42" s="772"/>
      <c r="K42" s="772"/>
      <c r="L42" s="772"/>
      <c r="M42" s="773"/>
      <c r="N42" s="322"/>
      <c r="P42" s="358"/>
      <c r="Q42" s="358"/>
      <c r="R42" s="358"/>
      <c r="S42" s="358"/>
    </row>
    <row r="43" spans="2:19" s="300" customFormat="1">
      <c r="B43" s="322"/>
      <c r="C43" s="774" t="s">
        <v>517</v>
      </c>
      <c r="D43" s="775"/>
      <c r="E43" s="514"/>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14"/>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14"/>
      <c r="F45" s="368" t="str">
        <f>I200</f>
        <v>TBD</v>
      </c>
      <c r="G45" s="368" t="str">
        <f>J200</f>
        <v>TBD</v>
      </c>
      <c r="H45" s="772"/>
      <c r="I45" s="772"/>
      <c r="J45" s="772"/>
      <c r="K45" s="772"/>
      <c r="L45" s="772"/>
      <c r="M45" s="773"/>
      <c r="N45" s="322"/>
    </row>
    <row r="46" spans="2:19" s="300" customFormat="1">
      <c r="B46" s="322"/>
      <c r="C46" s="774" t="s">
        <v>538</v>
      </c>
      <c r="D46" s="775"/>
      <c r="E46" s="514"/>
      <c r="F46" s="368" t="str">
        <f>I232</f>
        <v>TBD</v>
      </c>
      <c r="G46" s="368" t="str">
        <f>J232</f>
        <v>TBD</v>
      </c>
      <c r="H46" s="772"/>
      <c r="I46" s="772"/>
      <c r="J46" s="772"/>
      <c r="K46" s="772"/>
      <c r="L46" s="772"/>
      <c r="M46" s="773"/>
      <c r="N46" s="322"/>
    </row>
    <row r="47" spans="2:19" s="300" customFormat="1">
      <c r="B47" s="322"/>
      <c r="C47" s="774" t="s">
        <v>55</v>
      </c>
      <c r="D47" s="775"/>
      <c r="E47" s="514"/>
      <c r="F47" s="368">
        <f>I225</f>
        <v>41578</v>
      </c>
      <c r="G47" s="368" t="str">
        <f>J225</f>
        <v>TBD</v>
      </c>
      <c r="H47" s="772"/>
      <c r="I47" s="772"/>
      <c r="J47" s="772"/>
      <c r="K47" s="772"/>
      <c r="L47" s="772"/>
      <c r="M47" s="773"/>
      <c r="N47" s="322"/>
    </row>
    <row r="48" spans="2:19" s="300" customFormat="1">
      <c r="B48" s="322"/>
      <c r="C48" s="774" t="s">
        <v>346</v>
      </c>
      <c r="D48" s="775"/>
      <c r="E48" s="514"/>
      <c r="F48" s="368">
        <f>I235</f>
        <v>41578</v>
      </c>
      <c r="G48" s="368" t="str">
        <f>J235</f>
        <v>TBD</v>
      </c>
      <c r="H48" s="772"/>
      <c r="I48" s="772"/>
      <c r="J48" s="772"/>
      <c r="K48" s="772"/>
      <c r="L48" s="772"/>
      <c r="M48" s="773"/>
      <c r="N48" s="322"/>
    </row>
    <row r="49" spans="2:14" s="300" customFormat="1">
      <c r="B49" s="322"/>
      <c r="C49" s="774" t="s">
        <v>347</v>
      </c>
      <c r="D49" s="775"/>
      <c r="E49" s="514"/>
      <c r="F49" s="368" t="str">
        <f>I237</f>
        <v>TBD</v>
      </c>
      <c r="G49" s="368" t="str">
        <f>J237</f>
        <v>TBD</v>
      </c>
      <c r="H49" s="772"/>
      <c r="I49" s="772"/>
      <c r="J49" s="772"/>
      <c r="K49" s="772"/>
      <c r="L49" s="772"/>
      <c r="M49" s="773"/>
      <c r="N49" s="322"/>
    </row>
    <row r="50" spans="2:14" s="300" customFormat="1">
      <c r="B50" s="322"/>
      <c r="C50" s="774" t="s">
        <v>348</v>
      </c>
      <c r="D50" s="775"/>
      <c r="E50" s="514"/>
      <c r="F50" s="368" t="str">
        <f>I254</f>
        <v>TBD</v>
      </c>
      <c r="G50" s="368" t="str">
        <f>J254</f>
        <v>TBD</v>
      </c>
      <c r="H50" s="772"/>
      <c r="I50" s="772"/>
      <c r="J50" s="772"/>
      <c r="K50" s="772"/>
      <c r="L50" s="772"/>
      <c r="M50" s="773"/>
      <c r="N50" s="322"/>
    </row>
    <row r="51" spans="2:14" s="300" customFormat="1">
      <c r="B51" s="322"/>
      <c r="C51" s="774" t="s">
        <v>65</v>
      </c>
      <c r="D51" s="775"/>
      <c r="E51" s="514"/>
      <c r="F51" s="368" t="str">
        <f>I255</f>
        <v>TBD</v>
      </c>
      <c r="G51" s="368" t="str">
        <f>J255</f>
        <v>TBD</v>
      </c>
      <c r="H51" s="772"/>
      <c r="I51" s="772"/>
      <c r="J51" s="772"/>
      <c r="K51" s="772"/>
      <c r="L51" s="772"/>
      <c r="M51" s="773"/>
      <c r="N51" s="322"/>
    </row>
    <row r="52" spans="2:14" s="300" customFormat="1">
      <c r="B52" s="322"/>
      <c r="C52" s="774" t="s">
        <v>540</v>
      </c>
      <c r="D52" s="775"/>
      <c r="E52" s="514"/>
      <c r="F52" s="368" t="str">
        <f>I273</f>
        <v>TBD</v>
      </c>
      <c r="G52" s="368" t="str">
        <f>J273</f>
        <v>TBD</v>
      </c>
      <c r="H52" s="772"/>
      <c r="I52" s="772"/>
      <c r="J52" s="772"/>
      <c r="K52" s="772"/>
      <c r="L52" s="772"/>
      <c r="M52" s="773"/>
      <c r="N52" s="322"/>
    </row>
    <row r="53" spans="2:14" s="300" customFormat="1">
      <c r="B53" s="322"/>
      <c r="C53" s="774" t="s">
        <v>542</v>
      </c>
      <c r="D53" s="775"/>
      <c r="E53" s="514"/>
      <c r="F53" s="368" t="str">
        <f>I276</f>
        <v>TBD</v>
      </c>
      <c r="G53" s="368" t="str">
        <f>J276</f>
        <v>TBD</v>
      </c>
      <c r="H53" s="772"/>
      <c r="I53" s="772"/>
      <c r="J53" s="772"/>
      <c r="K53" s="772"/>
      <c r="L53" s="772"/>
      <c r="M53" s="773"/>
      <c r="N53" s="322"/>
    </row>
    <row r="54" spans="2:14" s="300" customFormat="1">
      <c r="B54" s="322"/>
      <c r="C54" s="774">
        <v>8609</v>
      </c>
      <c r="D54" s="775"/>
      <c r="E54" s="514"/>
      <c r="F54" s="368" t="str">
        <f>I289</f>
        <v>TBD</v>
      </c>
      <c r="G54" s="368" t="str">
        <f>J289</f>
        <v>TBD</v>
      </c>
      <c r="H54" s="772"/>
      <c r="I54" s="772"/>
      <c r="J54" s="772"/>
      <c r="K54" s="772"/>
      <c r="L54" s="772"/>
      <c r="M54" s="773"/>
      <c r="N54" s="322"/>
    </row>
    <row r="55" spans="2:14" s="300" customForma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515"/>
      <c r="F56" s="338"/>
      <c r="G56" s="338"/>
      <c r="H56" s="772"/>
      <c r="I56" s="772"/>
      <c r="J56" s="772"/>
      <c r="K56" s="772"/>
      <c r="L56" s="772"/>
      <c r="M56" s="773"/>
      <c r="N56" s="322"/>
    </row>
    <row r="57" spans="2:14" s="300" customFormat="1" ht="14">
      <c r="B57" s="322"/>
      <c r="C57" s="770" t="s">
        <v>522</v>
      </c>
      <c r="D57" s="771"/>
      <c r="E57" s="515"/>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YMCA Austin</v>
      </c>
      <c r="J63" s="769"/>
      <c r="K63" s="17"/>
      <c r="L63" s="17"/>
      <c r="M63" s="8"/>
      <c r="N63" s="17"/>
    </row>
    <row r="64" spans="2:14" ht="16" thickBot="1">
      <c r="C64" s="308" t="s">
        <v>351</v>
      </c>
      <c r="D64" s="308"/>
      <c r="E64" s="308"/>
      <c r="F64" s="308"/>
      <c r="H64" s="363"/>
      <c r="I64" s="768" t="str">
        <f>F7</f>
        <v>Chicago</v>
      </c>
      <c r="J64" s="769"/>
      <c r="K64" s="17"/>
      <c r="L64" s="17"/>
      <c r="M64" s="8"/>
      <c r="N64" s="17"/>
    </row>
    <row r="65" spans="2:15" ht="16" thickBot="1">
      <c r="C65" s="308" t="s">
        <v>352</v>
      </c>
      <c r="D65" s="308"/>
      <c r="E65" s="308"/>
      <c r="F65" s="308"/>
      <c r="H65" s="363"/>
      <c r="I65" s="768" t="str">
        <f>C3</f>
        <v>L Brace</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t="s">
        <v>14</v>
      </c>
      <c r="J70" s="332" t="s">
        <v>14</v>
      </c>
    </row>
    <row r="71" spans="2:15">
      <c r="C71" s="2" t="s">
        <v>356</v>
      </c>
      <c r="D71" s="2"/>
      <c r="E71" s="2"/>
      <c r="F71" s="2"/>
      <c r="G71" s="2"/>
      <c r="H71" s="2"/>
      <c r="I71" s="332" t="s">
        <v>14</v>
      </c>
      <c r="J71" s="332" t="s">
        <v>14</v>
      </c>
    </row>
    <row r="72" spans="2:15">
      <c r="C72" s="2" t="s">
        <v>357</v>
      </c>
      <c r="D72" s="2"/>
      <c r="E72" s="2"/>
      <c r="F72" s="2"/>
      <c r="G72" s="2"/>
      <c r="H72" s="2"/>
      <c r="I72" s="332" t="s">
        <v>14</v>
      </c>
      <c r="J72" s="332" t="s">
        <v>14</v>
      </c>
    </row>
    <row r="73" spans="2:15">
      <c r="C73" s="2" t="s">
        <v>358</v>
      </c>
      <c r="D73" s="2"/>
      <c r="E73" s="2"/>
      <c r="F73" s="2"/>
      <c r="G73" s="2"/>
      <c r="H73" s="2"/>
      <c r="I73" s="332" t="s">
        <v>14</v>
      </c>
      <c r="J73" s="332" t="s">
        <v>14</v>
      </c>
    </row>
    <row r="74" spans="2:15">
      <c r="C74" s="312" t="s">
        <v>359</v>
      </c>
      <c r="D74" s="312"/>
      <c r="E74" s="312"/>
      <c r="F74" s="312"/>
      <c r="G74" s="312"/>
      <c r="H74" s="312"/>
      <c r="I74" s="332" t="s">
        <v>14</v>
      </c>
      <c r="J74" s="332" t="s">
        <v>14</v>
      </c>
    </row>
    <row r="75" spans="2:15">
      <c r="C75" s="2" t="s">
        <v>360</v>
      </c>
      <c r="D75" s="2"/>
      <c r="E75" s="2"/>
      <c r="F75" s="312"/>
      <c r="G75" s="312"/>
      <c r="H75" s="312"/>
      <c r="I75" s="332" t="s">
        <v>14</v>
      </c>
      <c r="J75" s="332" t="s">
        <v>14</v>
      </c>
    </row>
    <row r="76" spans="2:15">
      <c r="C76" s="2" t="s">
        <v>361</v>
      </c>
      <c r="D76" s="2"/>
      <c r="E76" s="2"/>
      <c r="F76" s="312"/>
      <c r="G76" s="312"/>
      <c r="H76" s="312"/>
      <c r="I76" s="332" t="s">
        <v>14</v>
      </c>
      <c r="J76" s="332" t="s">
        <v>14</v>
      </c>
    </row>
    <row r="77" spans="2:15">
      <c r="C77" s="2" t="s">
        <v>362</v>
      </c>
      <c r="D77" s="2"/>
      <c r="E77" s="2"/>
      <c r="F77" s="312"/>
      <c r="G77" s="312"/>
      <c r="H77" s="312"/>
      <c r="I77" s="534"/>
      <c r="J77" s="534"/>
    </row>
    <row r="78" spans="2:15">
      <c r="C78" s="312" t="s">
        <v>363</v>
      </c>
      <c r="D78" s="312"/>
      <c r="E78" s="312"/>
      <c r="F78" s="312"/>
      <c r="G78" s="312"/>
      <c r="H78" s="312"/>
      <c r="I78" s="332" t="s">
        <v>14</v>
      </c>
      <c r="J78" s="332" t="s">
        <v>14</v>
      </c>
    </row>
    <row r="79" spans="2:15">
      <c r="C79" s="312" t="s">
        <v>364</v>
      </c>
      <c r="D79" s="312"/>
      <c r="E79" s="312"/>
      <c r="F79" s="312"/>
      <c r="G79" s="312"/>
      <c r="H79" s="312"/>
      <c r="I79" s="332" t="s">
        <v>14</v>
      </c>
      <c r="J79" s="332" t="s">
        <v>14</v>
      </c>
    </row>
    <row r="80" spans="2:15">
      <c r="C80" s="312" t="s">
        <v>365</v>
      </c>
      <c r="D80" s="312"/>
      <c r="E80" s="312"/>
      <c r="F80" s="312"/>
      <c r="G80" s="312"/>
      <c r="H80" s="312"/>
      <c r="I80" s="332" t="s">
        <v>14</v>
      </c>
      <c r="J80" s="332" t="s">
        <v>14</v>
      </c>
    </row>
    <row r="81" spans="2:10">
      <c r="C81" s="315" t="s">
        <v>366</v>
      </c>
      <c r="D81" s="315"/>
      <c r="E81" s="315"/>
      <c r="F81" s="314"/>
      <c r="G81" s="314"/>
      <c r="H81" s="314"/>
      <c r="I81" s="332" t="s">
        <v>14</v>
      </c>
      <c r="J81" s="332" t="s">
        <v>14</v>
      </c>
    </row>
    <row r="82" spans="2:10">
      <c r="C82" s="2" t="s">
        <v>367</v>
      </c>
      <c r="D82" s="2"/>
      <c r="E82" s="2"/>
      <c r="F82" s="312"/>
      <c r="G82" s="312"/>
      <c r="H82" s="312"/>
      <c r="I82" s="534"/>
      <c r="J82" s="534"/>
    </row>
    <row r="83" spans="2:10">
      <c r="C83" s="312" t="s">
        <v>368</v>
      </c>
      <c r="D83" s="312"/>
      <c r="E83" s="312"/>
      <c r="F83" s="312"/>
      <c r="G83" s="312"/>
      <c r="H83" s="312"/>
      <c r="I83" s="332" t="s">
        <v>14</v>
      </c>
      <c r="J83" s="332" t="s">
        <v>14</v>
      </c>
    </row>
    <row r="84" spans="2:10">
      <c r="C84" s="312" t="s">
        <v>369</v>
      </c>
      <c r="D84" s="312"/>
      <c r="E84" s="312"/>
      <c r="F84" s="312"/>
      <c r="G84" s="312"/>
      <c r="H84" s="312"/>
      <c r="I84" s="332" t="s">
        <v>14</v>
      </c>
      <c r="J84" s="332" t="s">
        <v>14</v>
      </c>
    </row>
    <row r="85" spans="2:10">
      <c r="C85" s="312" t="s">
        <v>370</v>
      </c>
      <c r="D85" s="312"/>
      <c r="E85" s="312"/>
      <c r="F85" s="312"/>
      <c r="G85" s="312"/>
      <c r="H85" s="312"/>
      <c r="I85" s="332" t="s">
        <v>14</v>
      </c>
      <c r="J85" s="332" t="s">
        <v>14</v>
      </c>
    </row>
    <row r="86" spans="2:10">
      <c r="C86" s="2" t="s">
        <v>371</v>
      </c>
      <c r="D86" s="2"/>
      <c r="E86" s="2"/>
      <c r="F86" s="312"/>
      <c r="G86" s="312"/>
      <c r="H86" s="312"/>
      <c r="I86" s="332" t="s">
        <v>14</v>
      </c>
      <c r="J86" s="332" t="s">
        <v>14</v>
      </c>
    </row>
    <row r="87" spans="2:10">
      <c r="C87" s="2" t="s">
        <v>372</v>
      </c>
      <c r="D87" s="2"/>
      <c r="E87" s="2"/>
      <c r="F87" s="312"/>
      <c r="G87" s="312"/>
      <c r="H87" s="312"/>
      <c r="I87" s="332" t="s">
        <v>14</v>
      </c>
      <c r="J87" s="332" t="s">
        <v>14</v>
      </c>
    </row>
    <row r="88" spans="2:10">
      <c r="C88" s="2" t="s">
        <v>373</v>
      </c>
      <c r="D88" s="2"/>
      <c r="E88" s="2"/>
      <c r="F88" s="312"/>
      <c r="G88" s="312"/>
      <c r="H88" s="312"/>
      <c r="I88" s="332" t="s">
        <v>14</v>
      </c>
      <c r="J88" s="332" t="s">
        <v>14</v>
      </c>
    </row>
    <row r="89" spans="2:10">
      <c r="C89" s="2" t="s">
        <v>374</v>
      </c>
      <c r="D89" s="2"/>
      <c r="E89" s="2"/>
      <c r="F89" s="312"/>
      <c r="G89" s="312"/>
      <c r="H89" s="312"/>
      <c r="I89" s="332" t="s">
        <v>14</v>
      </c>
      <c r="J89" s="332" t="s">
        <v>14</v>
      </c>
    </row>
    <row r="90" spans="2:10">
      <c r="C90" s="2" t="s">
        <v>375</v>
      </c>
      <c r="D90" s="2"/>
      <c r="E90" s="2"/>
      <c r="F90" s="312"/>
      <c r="G90" s="312"/>
      <c r="H90" s="312"/>
      <c r="I90" s="332" t="s">
        <v>14</v>
      </c>
      <c r="J90" s="332" t="s">
        <v>14</v>
      </c>
    </row>
    <row r="91" spans="2:10">
      <c r="C91" s="2" t="s">
        <v>376</v>
      </c>
      <c r="D91" s="2"/>
      <c r="E91" s="2"/>
      <c r="F91" s="312"/>
      <c r="G91" s="312"/>
      <c r="H91" s="312"/>
      <c r="I91" s="332" t="s">
        <v>14</v>
      </c>
      <c r="J91" s="332" t="s">
        <v>14</v>
      </c>
    </row>
    <row r="92" spans="2:10">
      <c r="C92" s="308" t="s">
        <v>377</v>
      </c>
      <c r="D92" s="308"/>
      <c r="E92" s="308"/>
      <c r="F92" s="312"/>
      <c r="G92" s="312"/>
      <c r="H92" s="312"/>
      <c r="I92" s="364" t="s">
        <v>14</v>
      </c>
      <c r="J92" s="364" t="s">
        <v>14</v>
      </c>
    </row>
    <row r="93" spans="2:10">
      <c r="C93" s="2"/>
      <c r="D93" s="2"/>
      <c r="E93" s="2"/>
      <c r="F93" s="312"/>
      <c r="G93" s="312"/>
      <c r="H93" s="312"/>
      <c r="I93" s="331"/>
      <c r="J93" s="331"/>
    </row>
    <row r="94" spans="2:10">
      <c r="B94" s="309" t="s">
        <v>378</v>
      </c>
      <c r="C94" s="308"/>
      <c r="D94" s="308"/>
      <c r="E94" s="308"/>
      <c r="F94" s="313"/>
      <c r="G94" s="313"/>
      <c r="H94" s="313"/>
      <c r="I94" s="364" t="s">
        <v>14</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14</v>
      </c>
      <c r="J99" s="332" t="s">
        <v>14</v>
      </c>
    </row>
    <row r="100" spans="2:10">
      <c r="C100" s="2" t="s">
        <v>381</v>
      </c>
      <c r="D100" s="2"/>
      <c r="E100" s="2"/>
      <c r="F100" s="312"/>
      <c r="G100" s="312"/>
      <c r="H100" s="312"/>
      <c r="I100" s="332" t="s">
        <v>14</v>
      </c>
      <c r="J100" s="332" t="s">
        <v>14</v>
      </c>
    </row>
    <row r="101" spans="2:10">
      <c r="C101" s="2" t="s">
        <v>382</v>
      </c>
      <c r="D101" s="2"/>
      <c r="E101" s="2"/>
      <c r="F101" s="312"/>
      <c r="G101" s="312"/>
      <c r="H101" s="312"/>
      <c r="I101" s="332" t="s">
        <v>14</v>
      </c>
      <c r="J101" s="332" t="s">
        <v>14</v>
      </c>
    </row>
    <row r="102" spans="2:10">
      <c r="C102" s="308" t="s">
        <v>534</v>
      </c>
      <c r="D102" s="2"/>
      <c r="E102" s="2"/>
      <c r="F102" s="312"/>
      <c r="G102" s="312"/>
      <c r="H102" s="312"/>
      <c r="I102" s="364" t="s">
        <v>14</v>
      </c>
      <c r="J102" s="364" t="s">
        <v>14</v>
      </c>
    </row>
    <row r="103" spans="2:10">
      <c r="C103" s="2" t="s">
        <v>524</v>
      </c>
      <c r="D103" s="2"/>
      <c r="E103" s="2"/>
      <c r="F103" s="312"/>
      <c r="G103" s="312"/>
      <c r="H103" s="312"/>
      <c r="I103" s="332" t="s">
        <v>14</v>
      </c>
      <c r="J103" s="332" t="s">
        <v>14</v>
      </c>
    </row>
    <row r="104" spans="2:10">
      <c r="C104" s="2" t="s">
        <v>383</v>
      </c>
      <c r="D104" s="2"/>
      <c r="E104" s="2"/>
      <c r="F104" s="312"/>
      <c r="G104" s="312"/>
      <c r="H104" s="312"/>
      <c r="I104" s="332" t="s">
        <v>14</v>
      </c>
      <c r="J104" s="332" t="s">
        <v>14</v>
      </c>
    </row>
    <row r="105" spans="2:10">
      <c r="C105" s="2" t="s">
        <v>384</v>
      </c>
      <c r="D105" s="2"/>
      <c r="E105" s="2"/>
      <c r="F105" s="312"/>
      <c r="G105" s="312"/>
      <c r="H105" s="312"/>
      <c r="I105" s="332" t="s">
        <v>14</v>
      </c>
      <c r="J105" s="332" t="s">
        <v>14</v>
      </c>
    </row>
    <row r="106" spans="2:10">
      <c r="C106" s="2" t="s">
        <v>544</v>
      </c>
      <c r="D106" s="2"/>
      <c r="E106" s="2"/>
      <c r="F106" s="312"/>
      <c r="G106" s="312"/>
      <c r="H106" s="312"/>
      <c r="I106" s="332" t="s">
        <v>14</v>
      </c>
      <c r="J106" s="332" t="s">
        <v>14</v>
      </c>
    </row>
    <row r="107" spans="2:10">
      <c r="C107" s="2" t="s">
        <v>385</v>
      </c>
      <c r="D107" s="2"/>
      <c r="E107" s="2"/>
      <c r="F107" s="312"/>
      <c r="G107" s="312"/>
      <c r="H107" s="312"/>
      <c r="I107" s="332" t="s">
        <v>14</v>
      </c>
      <c r="J107" s="332" t="s">
        <v>14</v>
      </c>
    </row>
    <row r="108" spans="2:10">
      <c r="C108" s="2" t="s">
        <v>386</v>
      </c>
      <c r="D108" s="2"/>
      <c r="E108" s="2"/>
      <c r="F108" s="312"/>
      <c r="G108" s="312"/>
      <c r="H108" s="312"/>
      <c r="I108" s="332" t="s">
        <v>14</v>
      </c>
      <c r="J108" s="332" t="s">
        <v>14</v>
      </c>
    </row>
    <row r="109" spans="2:10">
      <c r="C109" s="2" t="s">
        <v>523</v>
      </c>
      <c r="D109" s="2"/>
      <c r="E109" s="2"/>
      <c r="F109" s="312"/>
      <c r="G109" s="312"/>
      <c r="H109" s="312"/>
      <c r="I109" s="332" t="s">
        <v>14</v>
      </c>
      <c r="J109" s="332" t="s">
        <v>14</v>
      </c>
    </row>
    <row r="110" spans="2:10">
      <c r="C110" s="308" t="s">
        <v>526</v>
      </c>
      <c r="D110" s="2"/>
      <c r="E110" s="2"/>
      <c r="F110" s="312"/>
      <c r="G110" s="312"/>
      <c r="H110" s="312"/>
      <c r="I110" s="364" t="s">
        <v>14</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t="s">
        <v>14</v>
      </c>
      <c r="J115" s="332" t="s">
        <v>14</v>
      </c>
    </row>
    <row r="116" spans="3:10">
      <c r="C116" s="315" t="s">
        <v>342</v>
      </c>
      <c r="D116" s="315"/>
      <c r="E116" s="315"/>
      <c r="F116" s="315"/>
      <c r="G116" s="315"/>
      <c r="H116" s="315"/>
      <c r="I116" s="332" t="s">
        <v>14</v>
      </c>
      <c r="J116" s="332" t="s">
        <v>14</v>
      </c>
    </row>
    <row r="117" spans="3:10">
      <c r="C117" s="315" t="s">
        <v>390</v>
      </c>
      <c r="D117" s="315"/>
      <c r="E117" s="315"/>
      <c r="F117" s="315"/>
      <c r="G117" s="315"/>
      <c r="H117" s="315"/>
      <c r="I117" s="332" t="s">
        <v>14</v>
      </c>
      <c r="J117" s="332" t="s">
        <v>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t="s">
        <v>14</v>
      </c>
      <c r="J120" s="332" t="s">
        <v>14</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534"/>
      <c r="J123" s="534"/>
    </row>
    <row r="124" spans="3:10">
      <c r="C124" s="315" t="s">
        <v>392</v>
      </c>
      <c r="D124" s="315"/>
      <c r="E124" s="315"/>
      <c r="F124" s="315"/>
      <c r="G124" s="315"/>
      <c r="H124" s="315"/>
      <c r="I124" s="332" t="s">
        <v>14</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534"/>
      <c r="J128" s="534"/>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t="s">
        <v>14</v>
      </c>
      <c r="J134" s="332" t="s">
        <v>14</v>
      </c>
    </row>
    <row r="135" spans="2:10">
      <c r="C135" s="2" t="s">
        <v>398</v>
      </c>
      <c r="D135" s="2"/>
      <c r="E135" s="2"/>
      <c r="F135" s="312"/>
      <c r="G135" s="312"/>
      <c r="H135" s="312"/>
      <c r="I135" s="332" t="s">
        <v>14</v>
      </c>
      <c r="J135" s="332" t="s">
        <v>14</v>
      </c>
    </row>
    <row r="136" spans="2:10">
      <c r="C136" s="2" t="s">
        <v>399</v>
      </c>
      <c r="D136" s="2"/>
      <c r="E136" s="2"/>
      <c r="F136" s="312"/>
      <c r="G136" s="312"/>
      <c r="H136" s="312"/>
      <c r="I136" s="332" t="s">
        <v>14</v>
      </c>
      <c r="J136" s="332" t="s">
        <v>14</v>
      </c>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332" t="s">
        <v>14</v>
      </c>
      <c r="J139" s="332" t="s">
        <v>14</v>
      </c>
    </row>
    <row r="140" spans="2:10">
      <c r="C140" s="2" t="s">
        <v>402</v>
      </c>
      <c r="D140" s="2"/>
      <c r="E140" s="2"/>
      <c r="F140" s="312"/>
      <c r="G140" s="312"/>
      <c r="H140" s="312"/>
      <c r="I140" s="332" t="s">
        <v>14</v>
      </c>
      <c r="J140" s="332" t="s">
        <v>14</v>
      </c>
    </row>
    <row r="141" spans="2:10">
      <c r="C141" s="312" t="s">
        <v>403</v>
      </c>
      <c r="D141" s="312"/>
      <c r="E141" s="312"/>
      <c r="F141" s="312"/>
      <c r="G141" s="312"/>
      <c r="H141" s="312"/>
      <c r="I141" s="332" t="s">
        <v>14</v>
      </c>
      <c r="J141" s="332" t="s">
        <v>14</v>
      </c>
    </row>
    <row r="142" spans="2:10">
      <c r="C142" s="312" t="s">
        <v>404</v>
      </c>
      <c r="D142" s="312"/>
      <c r="E142" s="312"/>
      <c r="F142" s="312"/>
      <c r="G142" s="312"/>
      <c r="H142" s="312"/>
      <c r="I142" s="332" t="s">
        <v>14</v>
      </c>
      <c r="J142" s="332" t="s">
        <v>14</v>
      </c>
    </row>
    <row r="143" spans="2:10">
      <c r="C143" s="312" t="s">
        <v>405</v>
      </c>
      <c r="D143" s="312"/>
      <c r="E143" s="312"/>
      <c r="F143" s="312"/>
      <c r="G143" s="312"/>
      <c r="H143" s="312"/>
      <c r="I143" s="332" t="s">
        <v>14</v>
      </c>
      <c r="J143" s="332" t="s">
        <v>14</v>
      </c>
    </row>
    <row r="144" spans="2:10">
      <c r="C144" s="2" t="s">
        <v>406</v>
      </c>
      <c r="D144" s="2"/>
      <c r="E144" s="2"/>
      <c r="F144" s="312"/>
      <c r="G144" s="312"/>
      <c r="H144" s="312"/>
      <c r="I144" s="332" t="s">
        <v>14</v>
      </c>
      <c r="J144" s="332" t="s">
        <v>14</v>
      </c>
    </row>
    <row r="145" spans="3:10">
      <c r="C145" s="2" t="s">
        <v>407</v>
      </c>
      <c r="D145" s="2"/>
      <c r="E145" s="2"/>
      <c r="F145" s="312"/>
      <c r="G145" s="312"/>
      <c r="H145" s="312"/>
      <c r="I145" s="332" t="s">
        <v>14</v>
      </c>
      <c r="J145" s="332" t="s">
        <v>14</v>
      </c>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2" t="s">
        <v>14</v>
      </c>
      <c r="J148" s="332" t="s">
        <v>14</v>
      </c>
    </row>
    <row r="149" spans="3:10">
      <c r="C149" s="312" t="s">
        <v>411</v>
      </c>
      <c r="D149" s="312"/>
      <c r="E149" s="312"/>
      <c r="F149" s="312"/>
      <c r="G149" s="312"/>
      <c r="H149" s="312"/>
      <c r="I149" s="332" t="s">
        <v>14</v>
      </c>
      <c r="J149" s="332" t="s">
        <v>14</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2" t="s">
        <v>14</v>
      </c>
      <c r="J154" s="332" t="s">
        <v>14</v>
      </c>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2" t="s">
        <v>14</v>
      </c>
      <c r="J156" s="332" t="s">
        <v>14</v>
      </c>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2" t="s">
        <v>14</v>
      </c>
      <c r="J162" s="332" t="s">
        <v>14</v>
      </c>
    </row>
    <row r="163" spans="3:10">
      <c r="C163" s="312" t="s">
        <v>425</v>
      </c>
      <c r="D163" s="312"/>
      <c r="E163" s="312"/>
      <c r="F163" s="312"/>
      <c r="G163" s="312"/>
      <c r="H163" s="312"/>
      <c r="I163" s="332" t="s">
        <v>14</v>
      </c>
      <c r="J163" s="332" t="s">
        <v>14</v>
      </c>
    </row>
    <row r="164" spans="3:10">
      <c r="C164" s="312" t="s">
        <v>426</v>
      </c>
      <c r="D164" s="312"/>
      <c r="E164" s="312"/>
      <c r="F164" s="312"/>
      <c r="G164" s="312"/>
      <c r="H164" s="312"/>
      <c r="I164" s="332" t="s">
        <v>14</v>
      </c>
      <c r="J164" s="332" t="s">
        <v>14</v>
      </c>
    </row>
    <row r="165" spans="3:10">
      <c r="C165" s="315" t="s">
        <v>427</v>
      </c>
      <c r="D165" s="315"/>
      <c r="E165" s="315"/>
      <c r="F165" s="315"/>
      <c r="G165" s="315"/>
      <c r="H165" s="315"/>
      <c r="I165" s="332" t="s">
        <v>14</v>
      </c>
      <c r="J165" s="332" t="s">
        <v>14</v>
      </c>
    </row>
    <row r="166" spans="3:10">
      <c r="C166" s="315" t="s">
        <v>428</v>
      </c>
      <c r="D166" s="315"/>
      <c r="E166" s="315"/>
      <c r="F166" s="315"/>
      <c r="G166" s="315"/>
      <c r="H166" s="315"/>
      <c r="I166" s="332" t="s">
        <v>14</v>
      </c>
      <c r="J166" s="332" t="s">
        <v>14</v>
      </c>
    </row>
    <row r="167" spans="3:10">
      <c r="C167" s="312" t="s">
        <v>429</v>
      </c>
      <c r="D167" s="312"/>
      <c r="E167" s="312"/>
      <c r="F167" s="312"/>
      <c r="G167" s="312"/>
      <c r="H167" s="312"/>
      <c r="I167" s="332" t="s">
        <v>14</v>
      </c>
      <c r="J167" s="332" t="s">
        <v>14</v>
      </c>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2" t="s">
        <v>14</v>
      </c>
      <c r="J170" s="332" t="s">
        <v>14</v>
      </c>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2" t="s">
        <v>14</v>
      </c>
      <c r="J173" s="332" t="s">
        <v>14</v>
      </c>
    </row>
    <row r="174" spans="3:10">
      <c r="C174" s="315" t="s">
        <v>432</v>
      </c>
      <c r="D174" s="315"/>
      <c r="E174" s="315"/>
      <c r="F174" s="315"/>
      <c r="G174" s="315"/>
      <c r="H174" s="315"/>
      <c r="I174" s="332" t="s">
        <v>14</v>
      </c>
      <c r="J174" s="332" t="s">
        <v>14</v>
      </c>
    </row>
    <row r="175" spans="3:10">
      <c r="C175" s="315" t="s">
        <v>433</v>
      </c>
      <c r="D175" s="315"/>
      <c r="E175" s="315"/>
      <c r="F175" s="315"/>
      <c r="G175" s="315"/>
      <c r="H175" s="315"/>
      <c r="I175" s="332" t="s">
        <v>14</v>
      </c>
      <c r="J175" s="332" t="s">
        <v>14</v>
      </c>
    </row>
    <row r="176" spans="3:10">
      <c r="C176" s="315" t="s">
        <v>434</v>
      </c>
      <c r="D176" s="315"/>
      <c r="E176" s="315"/>
      <c r="F176" s="315"/>
      <c r="G176" s="315"/>
      <c r="H176" s="315"/>
      <c r="I176" s="332" t="s">
        <v>14</v>
      </c>
      <c r="J176" s="332" t="s">
        <v>14</v>
      </c>
    </row>
    <row r="177" spans="3:10">
      <c r="C177" s="315" t="s">
        <v>435</v>
      </c>
      <c r="D177" s="315"/>
      <c r="E177" s="315"/>
      <c r="F177" s="315"/>
      <c r="G177" s="315"/>
      <c r="H177" s="315"/>
      <c r="I177" s="332" t="s">
        <v>14</v>
      </c>
      <c r="J177" s="332" t="s">
        <v>14</v>
      </c>
    </row>
    <row r="178" spans="3:10">
      <c r="C178" s="310" t="s">
        <v>422</v>
      </c>
      <c r="D178" s="310"/>
      <c r="E178" s="310"/>
      <c r="F178" s="312"/>
      <c r="G178" s="312"/>
      <c r="H178" s="312"/>
      <c r="I178" s="332" t="s">
        <v>14</v>
      </c>
      <c r="J178" s="332" t="s">
        <v>14</v>
      </c>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2" t="s">
        <v>14</v>
      </c>
      <c r="J187" s="332" t="s">
        <v>14</v>
      </c>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2" t="s">
        <v>14</v>
      </c>
      <c r="J193" s="332" t="s">
        <v>14</v>
      </c>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2" t="s">
        <v>14</v>
      </c>
      <c r="J210" s="332" t="s">
        <v>14</v>
      </c>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v>41578</v>
      </c>
      <c r="J225" s="364" t="s">
        <v>14</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332" t="s">
        <v>14</v>
      </c>
    </row>
    <row r="231" spans="2:10">
      <c r="C231" s="312" t="s">
        <v>477</v>
      </c>
      <c r="D231" s="312"/>
      <c r="E231" s="312"/>
      <c r="F231" s="312"/>
      <c r="G231" s="312"/>
      <c r="H231" s="312"/>
      <c r="I231" s="332" t="s">
        <v>14</v>
      </c>
      <c r="J231" s="332" t="s">
        <v>14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v>41578</v>
      </c>
      <c r="J235" s="364" t="s">
        <v>14</v>
      </c>
    </row>
    <row r="236" spans="2:10">
      <c r="C236" s="308" t="s">
        <v>480</v>
      </c>
      <c r="D236" s="2"/>
      <c r="E236" s="2"/>
      <c r="F236" s="312"/>
      <c r="G236" s="312"/>
      <c r="H236" s="312"/>
      <c r="I236" s="332" t="s">
        <v>14</v>
      </c>
      <c r="J236" s="332" t="s">
        <v>14</v>
      </c>
    </row>
    <row r="237" spans="2:10">
      <c r="C237" s="2" t="s">
        <v>481</v>
      </c>
      <c r="D237" s="2"/>
      <c r="E237" s="2"/>
      <c r="F237" s="312"/>
      <c r="G237" s="312"/>
      <c r="H237" s="312"/>
      <c r="I237" s="364" t="s">
        <v>14</v>
      </c>
      <c r="J237" s="364" t="s">
        <v>14</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14</v>
      </c>
      <c r="J253" s="332" t="s">
        <v>14</v>
      </c>
    </row>
    <row r="254" spans="2:10">
      <c r="C254" s="308" t="s">
        <v>539</v>
      </c>
      <c r="D254" s="2"/>
      <c r="E254" s="2"/>
      <c r="F254" s="312"/>
      <c r="G254" s="312"/>
      <c r="H254" s="312"/>
      <c r="I254" s="364" t="s">
        <v>14</v>
      </c>
      <c r="J254" s="364" t="s">
        <v>14</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14</v>
      </c>
      <c r="J267" s="332" t="s">
        <v>14</v>
      </c>
    </row>
    <row r="268" spans="2:10">
      <c r="C268" s="312" t="s">
        <v>495</v>
      </c>
      <c r="D268" s="312"/>
      <c r="E268" s="312"/>
      <c r="F268" s="312"/>
      <c r="G268" s="312"/>
      <c r="H268" s="312"/>
      <c r="I268" s="332" t="s">
        <v>14</v>
      </c>
      <c r="J268" s="332" t="s">
        <v>14</v>
      </c>
    </row>
    <row r="269" spans="2:10">
      <c r="C269" s="312" t="s">
        <v>496</v>
      </c>
      <c r="D269" s="312"/>
      <c r="E269" s="312"/>
      <c r="F269" s="312"/>
      <c r="G269" s="312"/>
      <c r="H269" s="312"/>
      <c r="I269" s="332" t="s">
        <v>14</v>
      </c>
      <c r="J269" s="332" t="s">
        <v>14</v>
      </c>
    </row>
    <row r="270" spans="2:10">
      <c r="C270" s="312" t="s">
        <v>497</v>
      </c>
      <c r="D270" s="312"/>
      <c r="E270" s="312"/>
      <c r="F270" s="312"/>
      <c r="G270" s="312"/>
      <c r="H270" s="312"/>
      <c r="I270" s="332" t="s">
        <v>14</v>
      </c>
      <c r="J270" s="332" t="s">
        <v>14</v>
      </c>
    </row>
    <row r="271" spans="2:10">
      <c r="C271" s="312" t="s">
        <v>498</v>
      </c>
      <c r="D271" s="312"/>
      <c r="E271" s="312"/>
      <c r="F271" s="312"/>
      <c r="G271" s="312"/>
      <c r="H271" s="312"/>
      <c r="I271" s="332" t="s">
        <v>14</v>
      </c>
      <c r="J271" s="332" t="s">
        <v>14</v>
      </c>
    </row>
    <row r="272" spans="2:10">
      <c r="C272" s="312" t="s">
        <v>499</v>
      </c>
      <c r="D272" s="312"/>
      <c r="E272" s="312"/>
      <c r="F272" s="312"/>
      <c r="G272" s="312"/>
      <c r="H272" s="312"/>
      <c r="I272" s="332" t="s">
        <v>14</v>
      </c>
      <c r="J272" s="332" t="s">
        <v>14</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I291" s="2"/>
      <c r="J291" s="7"/>
      <c r="K291" s="2"/>
      <c r="L291" s="2"/>
      <c r="M291" s="301"/>
      <c r="N291" s="2"/>
      <c r="O291" s="301"/>
    </row>
  </sheetData>
  <sheetProtection selectLockedCells="1"/>
  <mergeCells count="109">
    <mergeCell ref="I65:J65"/>
    <mergeCell ref="C57:D57"/>
    <mergeCell ref="H57:M57"/>
    <mergeCell ref="C58:D58"/>
    <mergeCell ref="H58:M58"/>
    <mergeCell ref="I63:J63"/>
    <mergeCell ref="I64:J64"/>
    <mergeCell ref="C54:D54"/>
    <mergeCell ref="H54:M54"/>
    <mergeCell ref="C55:D55"/>
    <mergeCell ref="H55:M55"/>
    <mergeCell ref="C56:D56"/>
    <mergeCell ref="H56:M56"/>
    <mergeCell ref="C51:D51"/>
    <mergeCell ref="H51:M51"/>
    <mergeCell ref="C52:D52"/>
    <mergeCell ref="H52:M52"/>
    <mergeCell ref="C53:D53"/>
    <mergeCell ref="H53:M53"/>
    <mergeCell ref="C48:D48"/>
    <mergeCell ref="H48:M48"/>
    <mergeCell ref="C49:D49"/>
    <mergeCell ref="H49:M49"/>
    <mergeCell ref="C50:D50"/>
    <mergeCell ref="H50:M50"/>
    <mergeCell ref="C45:D45"/>
    <mergeCell ref="H45:M45"/>
    <mergeCell ref="C46:D46"/>
    <mergeCell ref="H46:M46"/>
    <mergeCell ref="C47:D47"/>
    <mergeCell ref="H47:M47"/>
    <mergeCell ref="C42:D42"/>
    <mergeCell ref="H42:M42"/>
    <mergeCell ref="C43:D43"/>
    <mergeCell ref="H43:M43"/>
    <mergeCell ref="C44:D44"/>
    <mergeCell ref="H44:M44"/>
    <mergeCell ref="C39:D39"/>
    <mergeCell ref="H39:M39"/>
    <mergeCell ref="C40:D40"/>
    <mergeCell ref="H40:M40"/>
    <mergeCell ref="C41:D41"/>
    <mergeCell ref="H41:M41"/>
    <mergeCell ref="C24:D24"/>
    <mergeCell ref="F24:G24"/>
    <mergeCell ref="K24:M24"/>
    <mergeCell ref="C27:M34"/>
    <mergeCell ref="H37:M37"/>
    <mergeCell ref="C38:D38"/>
    <mergeCell ref="H38:M38"/>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3">
    <tabColor rgb="FF00B0F0"/>
  </sheetPr>
  <dimension ref="B1:U291"/>
  <sheetViews>
    <sheetView workbookViewId="0">
      <selection activeCell="L7" sqref="L7:M7"/>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Detail!A36</f>
        <v>Harold Washington Apts</v>
      </c>
      <c r="D2" s="341"/>
      <c r="E2" s="341"/>
      <c r="F2" s="120"/>
      <c r="G2" s="120"/>
      <c r="H2" s="120"/>
      <c r="I2" s="120"/>
      <c r="J2" s="120"/>
      <c r="K2" s="120"/>
      <c r="L2" s="120"/>
      <c r="M2" s="121"/>
      <c r="N2" s="319"/>
    </row>
    <row r="3" spans="2:21" s="122" customFormat="1" ht="20.25" customHeight="1" thickBot="1">
      <c r="B3" s="319"/>
      <c r="C3" s="136" t="str">
        <f>Detail!B36</f>
        <v>M Angelini</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Detail!V36</f>
        <v>Special Needs (PSH)</v>
      </c>
      <c r="G6" s="836"/>
      <c r="H6" s="357"/>
      <c r="I6" s="833" t="s">
        <v>219</v>
      </c>
      <c r="J6" s="834"/>
      <c r="K6" s="834"/>
      <c r="L6" s="837" t="str">
        <f>Detail!I36</f>
        <v>LIHTC - 4%</v>
      </c>
      <c r="M6" s="838"/>
      <c r="N6" s="318"/>
    </row>
    <row r="7" spans="2:21" ht="17.25" customHeight="1">
      <c r="B7" s="318"/>
      <c r="C7" s="796" t="s">
        <v>214</v>
      </c>
      <c r="D7" s="797"/>
      <c r="E7" s="352"/>
      <c r="F7" s="819" t="str">
        <f>Detail!C36</f>
        <v>Chicago</v>
      </c>
      <c r="G7" s="820"/>
      <c r="H7" s="357"/>
      <c r="I7" s="796" t="s">
        <v>183</v>
      </c>
      <c r="J7" s="797"/>
      <c r="K7" s="797"/>
      <c r="L7" s="830" t="str">
        <f>Detail!J36</f>
        <v>Local: City/County Funding</v>
      </c>
      <c r="M7" s="831"/>
      <c r="N7" s="318"/>
    </row>
    <row r="8" spans="2:21">
      <c r="B8" s="318"/>
      <c r="C8" s="796" t="s">
        <v>9</v>
      </c>
      <c r="D8" s="797"/>
      <c r="E8" s="352"/>
      <c r="F8" s="819" t="str">
        <f>Detail!D36</f>
        <v>Refinance/ Rehab</v>
      </c>
      <c r="G8" s="820"/>
      <c r="H8" s="357"/>
      <c r="I8" s="796" t="s">
        <v>184</v>
      </c>
      <c r="J8" s="797"/>
      <c r="K8" s="797"/>
      <c r="L8" s="830" t="str">
        <f>Detail!K36</f>
        <v>Local: State Funding</v>
      </c>
      <c r="M8" s="831"/>
      <c r="N8" s="318"/>
    </row>
    <row r="9" spans="2:21" ht="34.5" customHeight="1">
      <c r="B9" s="318"/>
      <c r="C9" s="796" t="s">
        <v>215</v>
      </c>
      <c r="D9" s="797"/>
      <c r="E9" s="353"/>
      <c r="F9" s="832">
        <f>Detail!T36</f>
        <v>69</v>
      </c>
      <c r="G9" s="820"/>
      <c r="H9" s="357"/>
      <c r="I9" s="796" t="s">
        <v>185</v>
      </c>
      <c r="J9" s="797"/>
      <c r="K9" s="797"/>
      <c r="L9" s="830" t="str">
        <f>Detail!L36</f>
        <v>N/A</v>
      </c>
      <c r="M9" s="831"/>
      <c r="N9" s="318"/>
    </row>
    <row r="10" spans="2:21" ht="17.25" customHeight="1">
      <c r="B10" s="318"/>
      <c r="C10" s="796" t="s">
        <v>216</v>
      </c>
      <c r="D10" s="797"/>
      <c r="E10" s="352"/>
      <c r="F10" s="819" t="str">
        <f>Detail!V36</f>
        <v>Special Needs (PSH)</v>
      </c>
      <c r="G10" s="820"/>
      <c r="H10" s="357"/>
      <c r="I10" s="796" t="s">
        <v>44</v>
      </c>
      <c r="J10" s="797"/>
      <c r="K10" s="797"/>
      <c r="L10" s="800">
        <f>Detail!AB36</f>
        <v>15100000</v>
      </c>
      <c r="M10" s="801"/>
      <c r="N10" s="318"/>
    </row>
    <row r="11" spans="2:21" ht="17.25" customHeight="1">
      <c r="B11" s="318"/>
      <c r="C11" s="361"/>
      <c r="D11" s="362"/>
      <c r="E11" s="352"/>
      <c r="F11" s="819" t="str">
        <f>Detail!W36</f>
        <v>Homeless</v>
      </c>
      <c r="G11" s="820"/>
      <c r="H11" s="357"/>
      <c r="I11" s="796" t="s">
        <v>602</v>
      </c>
      <c r="J11" s="797"/>
      <c r="K11" s="530"/>
      <c r="L11" s="828" t="str">
        <f>Detail!AG36</f>
        <v xml:space="preserve">B of A </v>
      </c>
      <c r="M11" s="829"/>
      <c r="N11" s="318"/>
    </row>
    <row r="12" spans="2:21">
      <c r="B12" s="318"/>
      <c r="C12" s="361"/>
      <c r="D12" s="362"/>
      <c r="E12" s="352"/>
      <c r="F12" s="819" t="str">
        <f>Detail!X36</f>
        <v>Dual Diagnosis</v>
      </c>
      <c r="G12" s="820"/>
      <c r="H12" s="357"/>
      <c r="I12" s="796" t="s">
        <v>603</v>
      </c>
      <c r="J12" s="797"/>
      <c r="K12" s="797"/>
      <c r="L12" s="828">
        <f>Detail!N36</f>
        <v>2009</v>
      </c>
      <c r="M12" s="829"/>
      <c r="N12" s="318"/>
    </row>
    <row r="13" spans="2:21" ht="17.25" customHeight="1">
      <c r="B13" s="318"/>
      <c r="C13" s="796" t="s">
        <v>525</v>
      </c>
      <c r="D13" s="797"/>
      <c r="E13" s="354"/>
      <c r="F13" s="827" t="str">
        <f>Detail!AM36</f>
        <v>MHMG</v>
      </c>
      <c r="G13" s="820"/>
      <c r="H13" s="357"/>
      <c r="I13" s="796" t="s">
        <v>256</v>
      </c>
      <c r="J13" s="797"/>
      <c r="K13" s="797"/>
      <c r="L13" s="800">
        <f>Detail!AC36</f>
        <v>4638364.6052631577</v>
      </c>
      <c r="M13" s="801"/>
      <c r="N13" s="318"/>
    </row>
    <row r="14" spans="2:21" ht="35.25" customHeight="1">
      <c r="B14" s="318"/>
      <c r="C14" s="796" t="s">
        <v>172</v>
      </c>
      <c r="D14" s="797"/>
      <c r="E14" s="352"/>
      <c r="F14" s="819" t="str">
        <f>Detail!Z36</f>
        <v>Case Management - In House</v>
      </c>
      <c r="G14" s="820"/>
      <c r="H14" s="357"/>
      <c r="I14" s="796" t="s">
        <v>257</v>
      </c>
      <c r="J14" s="797"/>
      <c r="K14" s="797"/>
      <c r="L14" s="800">
        <f>Detail!AF36</f>
        <v>3525157.1</v>
      </c>
      <c r="M14" s="801"/>
      <c r="N14" s="318"/>
    </row>
    <row r="15" spans="2:21" ht="17.25" customHeight="1" thickBot="1">
      <c r="B15" s="318"/>
      <c r="C15" s="796" t="s">
        <v>217</v>
      </c>
      <c r="D15" s="797"/>
      <c r="E15" s="355"/>
      <c r="F15" s="819" t="str">
        <f>Detail!AA36</f>
        <v>Government Contracts</v>
      </c>
      <c r="G15" s="820"/>
      <c r="H15" s="357"/>
      <c r="I15" s="821" t="s">
        <v>255</v>
      </c>
      <c r="J15" s="822"/>
      <c r="K15" s="822"/>
      <c r="L15" s="823">
        <f>Detail!AD36</f>
        <v>463836.46052631579</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Detail!AH36</f>
        <v>1757000</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Detail!AJ36</f>
        <v>997000</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Detail!AI36</f>
        <v>760000</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6" thickTop="1">
      <c r="B21" s="320"/>
      <c r="C21" s="804" t="s">
        <v>46</v>
      </c>
      <c r="D21" s="805"/>
      <c r="E21" s="349"/>
      <c r="F21" s="806" t="str">
        <f>Detail!F36</f>
        <v>Operations - Sub Phase Close Out</v>
      </c>
      <c r="G21" s="807"/>
      <c r="H21" s="359"/>
      <c r="I21" s="804" t="s">
        <v>226</v>
      </c>
      <c r="J21" s="805"/>
      <c r="K21" s="805"/>
      <c r="L21" s="808">
        <f>Detail!Q36</f>
        <v>0.95</v>
      </c>
      <c r="M21" s="809"/>
      <c r="N21" s="320"/>
    </row>
    <row r="22" spans="2:21" s="88" customFormat="1" ht="17.25" customHeight="1">
      <c r="B22" s="320"/>
      <c r="C22" s="796" t="s">
        <v>223</v>
      </c>
      <c r="D22" s="797"/>
      <c r="E22" s="348"/>
      <c r="F22" s="798">
        <f>Detail!P36</f>
        <v>40391</v>
      </c>
      <c r="G22" s="799"/>
      <c r="H22" s="359"/>
      <c r="I22" s="796" t="s">
        <v>227</v>
      </c>
      <c r="J22" s="797"/>
      <c r="K22" s="797"/>
      <c r="L22" s="800">
        <f>Detail!AO36+Detail!AP36+Detail!AQ36+Detail!AR36</f>
        <v>0</v>
      </c>
      <c r="M22" s="801"/>
      <c r="N22" s="320"/>
    </row>
    <row r="23" spans="2:21" s="88" customFormat="1" ht="17.25" customHeight="1">
      <c r="B23" s="320"/>
      <c r="C23" s="796" t="s">
        <v>224</v>
      </c>
      <c r="D23" s="797"/>
      <c r="E23" s="348"/>
      <c r="F23" s="798">
        <f>Detail!R36</f>
        <v>40422</v>
      </c>
      <c r="G23" s="799"/>
      <c r="H23" s="359"/>
      <c r="I23" s="796" t="s">
        <v>228</v>
      </c>
      <c r="J23" s="797"/>
      <c r="K23" s="797"/>
      <c r="L23" s="800">
        <f>Detail!BG36</f>
        <v>0</v>
      </c>
      <c r="M23" s="801"/>
      <c r="N23" s="320"/>
    </row>
    <row r="24" spans="2:21" s="88" customFormat="1" ht="17.25" customHeight="1" thickBot="1">
      <c r="B24" s="320"/>
      <c r="C24" s="778" t="s">
        <v>225</v>
      </c>
      <c r="D24" s="779"/>
      <c r="E24" s="533"/>
      <c r="F24" s="780">
        <f>Detail!S36</f>
        <v>40969</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Harold Washington Apts</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c r="B38" s="322"/>
      <c r="C38" s="792" t="s">
        <v>514</v>
      </c>
      <c r="D38" s="793"/>
      <c r="E38" s="344"/>
      <c r="F38" s="368" t="str">
        <f>I92</f>
        <v>TBD</v>
      </c>
      <c r="G38" s="368" t="str">
        <f>J92</f>
        <v>TBD</v>
      </c>
      <c r="H38" s="794"/>
      <c r="I38" s="794"/>
      <c r="J38" s="794"/>
      <c r="K38" s="794"/>
      <c r="L38" s="794"/>
      <c r="M38" s="795"/>
      <c r="N38" s="322"/>
    </row>
    <row r="39" spans="2:19" s="300" customFormat="1" ht="12.75" customHeight="1">
      <c r="B39" s="322"/>
      <c r="C39" s="774" t="s">
        <v>516</v>
      </c>
      <c r="D39" s="775"/>
      <c r="E39" s="532"/>
      <c r="F39" s="368" t="str">
        <f>I94</f>
        <v>TBD</v>
      </c>
      <c r="G39" s="369" t="str">
        <f>J94</f>
        <v>TBD</v>
      </c>
      <c r="H39" s="772"/>
      <c r="I39" s="772"/>
      <c r="J39" s="772"/>
      <c r="K39" s="772"/>
      <c r="L39" s="772"/>
      <c r="M39" s="773"/>
      <c r="N39" s="322"/>
    </row>
    <row r="40" spans="2:19" s="300" customFormat="1">
      <c r="B40" s="322"/>
      <c r="C40" s="774" t="s">
        <v>344</v>
      </c>
      <c r="D40" s="775"/>
      <c r="E40" s="532"/>
      <c r="F40" s="368" t="str">
        <f>I96</f>
        <v>TBD</v>
      </c>
      <c r="G40" s="368" t="str">
        <f>J96</f>
        <v>TBD</v>
      </c>
      <c r="H40" s="772"/>
      <c r="I40" s="772"/>
      <c r="J40" s="772"/>
      <c r="K40" s="772"/>
      <c r="L40" s="772"/>
      <c r="M40" s="773"/>
      <c r="N40" s="322"/>
    </row>
    <row r="41" spans="2:19" s="300" customFormat="1" ht="12.75" customHeight="1">
      <c r="B41" s="322"/>
      <c r="C41" s="774" t="s">
        <v>535</v>
      </c>
      <c r="D41" s="775"/>
      <c r="E41" s="532"/>
      <c r="F41" s="368" t="str">
        <f>HWA!I102</f>
        <v>TBD</v>
      </c>
      <c r="G41" s="368" t="str">
        <f>J102</f>
        <v>TBD</v>
      </c>
      <c r="H41" s="772"/>
      <c r="I41" s="772"/>
      <c r="J41" s="772"/>
      <c r="K41" s="772"/>
      <c r="L41" s="772"/>
      <c r="M41" s="773"/>
      <c r="N41" s="322"/>
      <c r="P41" s="358"/>
      <c r="Q41" s="358"/>
      <c r="R41" s="358"/>
      <c r="S41" s="358"/>
    </row>
    <row r="42" spans="2:19" s="300" customFormat="1">
      <c r="B42" s="322"/>
      <c r="C42" s="774" t="s">
        <v>536</v>
      </c>
      <c r="D42" s="775"/>
      <c r="E42" s="532"/>
      <c r="F42" s="368" t="str">
        <f>I110</f>
        <v>TBD</v>
      </c>
      <c r="G42" s="368" t="str">
        <f>J110</f>
        <v>TBD</v>
      </c>
      <c r="H42" s="772"/>
      <c r="I42" s="772"/>
      <c r="J42" s="772"/>
      <c r="K42" s="772"/>
      <c r="L42" s="772"/>
      <c r="M42" s="773"/>
      <c r="N42" s="322"/>
      <c r="P42" s="358"/>
      <c r="Q42" s="358"/>
      <c r="R42" s="358"/>
      <c r="S42" s="358"/>
    </row>
    <row r="43" spans="2:19" s="300" customFormat="1">
      <c r="B43" s="322"/>
      <c r="C43" s="774" t="s">
        <v>517</v>
      </c>
      <c r="D43" s="775"/>
      <c r="E43" s="532"/>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32"/>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32"/>
      <c r="F45" s="368" t="str">
        <f>I200</f>
        <v>TBD</v>
      </c>
      <c r="G45" s="368" t="str">
        <f>J200</f>
        <v>TBD</v>
      </c>
      <c r="H45" s="772"/>
      <c r="I45" s="772"/>
      <c r="J45" s="772"/>
      <c r="K45" s="772"/>
      <c r="L45" s="772"/>
      <c r="M45" s="773"/>
      <c r="N45" s="322"/>
    </row>
    <row r="46" spans="2:19" s="300" customFormat="1">
      <c r="B46" s="322"/>
      <c r="C46" s="774" t="s">
        <v>538</v>
      </c>
      <c r="D46" s="775"/>
      <c r="E46" s="532"/>
      <c r="F46" s="368" t="str">
        <f>I232</f>
        <v>TBD</v>
      </c>
      <c r="G46" s="368" t="str">
        <f>J232</f>
        <v>TBD</v>
      </c>
      <c r="H46" s="772"/>
      <c r="I46" s="772"/>
      <c r="J46" s="772"/>
      <c r="K46" s="772"/>
      <c r="L46" s="772"/>
      <c r="M46" s="773"/>
      <c r="N46" s="322"/>
    </row>
    <row r="47" spans="2:19" s="300" customFormat="1" ht="14">
      <c r="B47" s="322"/>
      <c r="C47" s="774" t="s">
        <v>55</v>
      </c>
      <c r="D47" s="775"/>
      <c r="E47" s="532"/>
      <c r="F47" s="368">
        <f>I225</f>
        <v>40421</v>
      </c>
      <c r="G47" s="368">
        <f>J225</f>
        <v>40421</v>
      </c>
      <c r="H47" s="772"/>
      <c r="I47" s="772"/>
      <c r="J47" s="772"/>
      <c r="K47" s="772"/>
      <c r="L47" s="772"/>
      <c r="M47" s="773"/>
      <c r="N47" s="322"/>
    </row>
    <row r="48" spans="2:19" s="300" customFormat="1" ht="14">
      <c r="B48" s="322"/>
      <c r="C48" s="774" t="s">
        <v>346</v>
      </c>
      <c r="D48" s="775"/>
      <c r="E48" s="532"/>
      <c r="F48" s="368">
        <f>I235</f>
        <v>40451</v>
      </c>
      <c r="G48" s="368">
        <f>J235</f>
        <v>40451</v>
      </c>
      <c r="H48" s="772"/>
      <c r="I48" s="772"/>
      <c r="J48" s="772"/>
      <c r="K48" s="772"/>
      <c r="L48" s="772"/>
      <c r="M48" s="773"/>
      <c r="N48" s="322"/>
    </row>
    <row r="49" spans="2:14" s="300" customFormat="1">
      <c r="B49" s="322"/>
      <c r="C49" s="774" t="s">
        <v>347</v>
      </c>
      <c r="D49" s="775"/>
      <c r="E49" s="532"/>
      <c r="F49" s="368" t="str">
        <f>I237</f>
        <v>TBD</v>
      </c>
      <c r="G49" s="368" t="str">
        <f>J237</f>
        <v>TBD</v>
      </c>
      <c r="H49" s="772"/>
      <c r="I49" s="772"/>
      <c r="J49" s="772"/>
      <c r="K49" s="772"/>
      <c r="L49" s="772"/>
      <c r="M49" s="773"/>
      <c r="N49" s="322"/>
    </row>
    <row r="50" spans="2:14" s="300" customFormat="1">
      <c r="B50" s="322"/>
      <c r="C50" s="774" t="s">
        <v>348</v>
      </c>
      <c r="D50" s="775"/>
      <c r="E50" s="532"/>
      <c r="F50" s="368" t="str">
        <f>I254</f>
        <v>TBD</v>
      </c>
      <c r="G50" s="368" t="str">
        <f>J254</f>
        <v>TBD</v>
      </c>
      <c r="H50" s="772"/>
      <c r="I50" s="772"/>
      <c r="J50" s="772"/>
      <c r="K50" s="772"/>
      <c r="L50" s="772"/>
      <c r="M50" s="773"/>
      <c r="N50" s="322"/>
    </row>
    <row r="51" spans="2:14" s="300" customFormat="1">
      <c r="B51" s="322"/>
      <c r="C51" s="774" t="s">
        <v>65</v>
      </c>
      <c r="D51" s="775"/>
      <c r="E51" s="532"/>
      <c r="F51" s="368" t="str">
        <f>I255</f>
        <v>TBD</v>
      </c>
      <c r="G51" s="368" t="str">
        <f>J255</f>
        <v>TBD</v>
      </c>
      <c r="H51" s="772"/>
      <c r="I51" s="772"/>
      <c r="J51" s="772"/>
      <c r="K51" s="772"/>
      <c r="L51" s="772"/>
      <c r="M51" s="773"/>
      <c r="N51" s="322"/>
    </row>
    <row r="52" spans="2:14" s="300" customFormat="1">
      <c r="B52" s="322"/>
      <c r="C52" s="774" t="s">
        <v>540</v>
      </c>
      <c r="D52" s="775"/>
      <c r="E52" s="532"/>
      <c r="F52" s="368" t="str">
        <f>I273</f>
        <v>TBD</v>
      </c>
      <c r="G52" s="368" t="str">
        <f>J273</f>
        <v>TBD</v>
      </c>
      <c r="H52" s="772"/>
      <c r="I52" s="772"/>
      <c r="J52" s="772"/>
      <c r="K52" s="772"/>
      <c r="L52" s="772"/>
      <c r="M52" s="773"/>
      <c r="N52" s="322"/>
    </row>
    <row r="53" spans="2:14" s="300" customFormat="1">
      <c r="B53" s="322"/>
      <c r="C53" s="774" t="s">
        <v>542</v>
      </c>
      <c r="D53" s="775"/>
      <c r="E53" s="532"/>
      <c r="F53" s="368" t="str">
        <f>I276</f>
        <v>TBD</v>
      </c>
      <c r="G53" s="368" t="str">
        <f>J276</f>
        <v>TBD</v>
      </c>
      <c r="H53" s="772"/>
      <c r="I53" s="772"/>
      <c r="J53" s="772"/>
      <c r="K53" s="772"/>
      <c r="L53" s="772"/>
      <c r="M53" s="773"/>
      <c r="N53" s="322"/>
    </row>
    <row r="54" spans="2:14" s="300" customFormat="1">
      <c r="B54" s="322"/>
      <c r="C54" s="774">
        <v>8609</v>
      </c>
      <c r="D54" s="775"/>
      <c r="E54" s="532"/>
      <c r="F54" s="368" t="str">
        <f>I289</f>
        <v>TBD</v>
      </c>
      <c r="G54" s="368" t="str">
        <f>J289</f>
        <v>TBD</v>
      </c>
      <c r="H54" s="772"/>
      <c r="I54" s="772"/>
      <c r="J54" s="772"/>
      <c r="K54" s="772"/>
      <c r="L54" s="772"/>
      <c r="M54" s="773"/>
      <c r="N54" s="322"/>
    </row>
    <row r="55" spans="2:14" s="300" customForma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531"/>
      <c r="F56" s="338"/>
      <c r="G56" s="338"/>
      <c r="H56" s="772"/>
      <c r="I56" s="772"/>
      <c r="J56" s="772"/>
      <c r="K56" s="772"/>
      <c r="L56" s="772"/>
      <c r="M56" s="773"/>
      <c r="N56" s="322"/>
    </row>
    <row r="57" spans="2:14" s="300" customFormat="1" ht="14">
      <c r="B57" s="322"/>
      <c r="C57" s="770" t="s">
        <v>522</v>
      </c>
      <c r="D57" s="771"/>
      <c r="E57" s="531"/>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Harold Washington Apts</v>
      </c>
      <c r="J63" s="769"/>
      <c r="K63" s="17"/>
      <c r="L63" s="17"/>
      <c r="M63" s="8"/>
      <c r="N63" s="17"/>
    </row>
    <row r="64" spans="2:14" ht="16" thickBot="1">
      <c r="C64" s="308" t="s">
        <v>351</v>
      </c>
      <c r="D64" s="308"/>
      <c r="E64" s="308"/>
      <c r="F64" s="308"/>
      <c r="H64" s="363"/>
      <c r="I64" s="768" t="str">
        <f>F7</f>
        <v>Chicago</v>
      </c>
      <c r="J64" s="769"/>
      <c r="K64" s="17"/>
      <c r="L64" s="17"/>
      <c r="M64" s="8"/>
      <c r="N64" s="17"/>
    </row>
    <row r="65" spans="2:15" ht="16" thickBot="1">
      <c r="C65" s="308" t="s">
        <v>352</v>
      </c>
      <c r="D65" s="308"/>
      <c r="E65" s="308"/>
      <c r="F65" s="308"/>
      <c r="H65" s="363"/>
      <c r="I65" s="768" t="str">
        <f>C3</f>
        <v>M Angelini</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t="s">
        <v>14</v>
      </c>
      <c r="J70" s="332" t="s">
        <v>14</v>
      </c>
    </row>
    <row r="71" spans="2:15">
      <c r="C71" s="2" t="s">
        <v>356</v>
      </c>
      <c r="D71" s="2"/>
      <c r="E71" s="2"/>
      <c r="F71" s="2"/>
      <c r="G71" s="2"/>
      <c r="H71" s="2"/>
      <c r="I71" s="332" t="s">
        <v>14</v>
      </c>
      <c r="J71" s="332" t="s">
        <v>14</v>
      </c>
    </row>
    <row r="72" spans="2:15">
      <c r="C72" s="2" t="s">
        <v>357</v>
      </c>
      <c r="D72" s="2"/>
      <c r="E72" s="2"/>
      <c r="F72" s="2"/>
      <c r="G72" s="2"/>
      <c r="H72" s="2"/>
      <c r="I72" s="332" t="s">
        <v>14</v>
      </c>
      <c r="J72" s="332" t="s">
        <v>14</v>
      </c>
    </row>
    <row r="73" spans="2:15">
      <c r="C73" s="2" t="s">
        <v>358</v>
      </c>
      <c r="D73" s="2"/>
      <c r="E73" s="2"/>
      <c r="F73" s="2"/>
      <c r="G73" s="2"/>
      <c r="H73" s="2"/>
      <c r="I73" s="332" t="s">
        <v>14</v>
      </c>
      <c r="J73" s="332" t="s">
        <v>14</v>
      </c>
    </row>
    <row r="74" spans="2:15">
      <c r="C74" s="312" t="s">
        <v>359</v>
      </c>
      <c r="D74" s="312"/>
      <c r="E74" s="312"/>
      <c r="F74" s="312"/>
      <c r="G74" s="312"/>
      <c r="H74" s="312"/>
      <c r="I74" s="332" t="s">
        <v>14</v>
      </c>
      <c r="J74" s="332" t="s">
        <v>14</v>
      </c>
    </row>
    <row r="75" spans="2:15">
      <c r="C75" s="2" t="s">
        <v>360</v>
      </c>
      <c r="D75" s="2"/>
      <c r="E75" s="2"/>
      <c r="F75" s="312"/>
      <c r="G75" s="312"/>
      <c r="H75" s="312"/>
      <c r="I75" s="332" t="s">
        <v>14</v>
      </c>
      <c r="J75" s="332" t="s">
        <v>14</v>
      </c>
    </row>
    <row r="76" spans="2:15">
      <c r="C76" s="2" t="s">
        <v>361</v>
      </c>
      <c r="D76" s="2"/>
      <c r="E76" s="2"/>
      <c r="F76" s="312"/>
      <c r="G76" s="312"/>
      <c r="H76" s="312"/>
      <c r="I76" s="332" t="s">
        <v>14</v>
      </c>
      <c r="J76" s="332" t="s">
        <v>14</v>
      </c>
    </row>
    <row r="77" spans="2:15">
      <c r="C77" s="2" t="s">
        <v>362</v>
      </c>
      <c r="D77" s="2"/>
      <c r="E77" s="2"/>
      <c r="F77" s="312"/>
      <c r="G77" s="312"/>
      <c r="H77" s="312"/>
      <c r="I77" s="534"/>
      <c r="J77" s="534"/>
    </row>
    <row r="78" spans="2:15">
      <c r="C78" s="312" t="s">
        <v>363</v>
      </c>
      <c r="D78" s="312"/>
      <c r="E78" s="312"/>
      <c r="F78" s="312"/>
      <c r="G78" s="312"/>
      <c r="H78" s="312"/>
      <c r="I78" s="332" t="s">
        <v>14</v>
      </c>
      <c r="J78" s="332" t="s">
        <v>14</v>
      </c>
    </row>
    <row r="79" spans="2:15">
      <c r="C79" s="312" t="s">
        <v>364</v>
      </c>
      <c r="D79" s="312"/>
      <c r="E79" s="312"/>
      <c r="F79" s="312"/>
      <c r="G79" s="312"/>
      <c r="H79" s="312"/>
      <c r="I79" s="332" t="s">
        <v>14</v>
      </c>
      <c r="J79" s="332" t="s">
        <v>14</v>
      </c>
    </row>
    <row r="80" spans="2:15">
      <c r="C80" s="312" t="s">
        <v>365</v>
      </c>
      <c r="D80" s="312"/>
      <c r="E80" s="312"/>
      <c r="F80" s="312"/>
      <c r="G80" s="312"/>
      <c r="H80" s="312"/>
      <c r="I80" s="332" t="s">
        <v>14</v>
      </c>
      <c r="J80" s="332" t="s">
        <v>14</v>
      </c>
    </row>
    <row r="81" spans="2:10">
      <c r="C81" s="315" t="s">
        <v>366</v>
      </c>
      <c r="D81" s="315"/>
      <c r="E81" s="315"/>
      <c r="F81" s="314"/>
      <c r="G81" s="314"/>
      <c r="H81" s="314"/>
      <c r="I81" s="332" t="s">
        <v>14</v>
      </c>
      <c r="J81" s="332" t="s">
        <v>14</v>
      </c>
    </row>
    <row r="82" spans="2:10">
      <c r="C82" s="2" t="s">
        <v>367</v>
      </c>
      <c r="D82" s="2"/>
      <c r="E82" s="2"/>
      <c r="F82" s="312"/>
      <c r="G82" s="312"/>
      <c r="H82" s="312"/>
      <c r="I82" s="534"/>
      <c r="J82" s="534"/>
    </row>
    <row r="83" spans="2:10">
      <c r="C83" s="312" t="s">
        <v>368</v>
      </c>
      <c r="D83" s="312"/>
      <c r="E83" s="312"/>
      <c r="F83" s="312"/>
      <c r="G83" s="312"/>
      <c r="H83" s="312"/>
      <c r="I83" s="332" t="s">
        <v>14</v>
      </c>
      <c r="J83" s="332" t="s">
        <v>14</v>
      </c>
    </row>
    <row r="84" spans="2:10">
      <c r="C84" s="312" t="s">
        <v>369</v>
      </c>
      <c r="D84" s="312"/>
      <c r="E84" s="312"/>
      <c r="F84" s="312"/>
      <c r="G84" s="312"/>
      <c r="H84" s="312"/>
      <c r="I84" s="332" t="s">
        <v>14</v>
      </c>
      <c r="J84" s="332" t="s">
        <v>14</v>
      </c>
    </row>
    <row r="85" spans="2:10">
      <c r="C85" s="312" t="s">
        <v>370</v>
      </c>
      <c r="D85" s="312"/>
      <c r="E85" s="312"/>
      <c r="F85" s="312"/>
      <c r="G85" s="312"/>
      <c r="H85" s="312"/>
      <c r="I85" s="332" t="s">
        <v>14</v>
      </c>
      <c r="J85" s="332" t="s">
        <v>14</v>
      </c>
    </row>
    <row r="86" spans="2:10">
      <c r="C86" s="2" t="s">
        <v>371</v>
      </c>
      <c r="D86" s="2"/>
      <c r="E86" s="2"/>
      <c r="F86" s="312"/>
      <c r="G86" s="312"/>
      <c r="H86" s="312"/>
      <c r="I86" s="332" t="s">
        <v>14</v>
      </c>
      <c r="J86" s="332" t="s">
        <v>14</v>
      </c>
    </row>
    <row r="87" spans="2:10">
      <c r="C87" s="2" t="s">
        <v>372</v>
      </c>
      <c r="D87" s="2"/>
      <c r="E87" s="2"/>
      <c r="F87" s="312"/>
      <c r="G87" s="312"/>
      <c r="H87" s="312"/>
      <c r="I87" s="332" t="s">
        <v>14</v>
      </c>
      <c r="J87" s="332" t="s">
        <v>14</v>
      </c>
    </row>
    <row r="88" spans="2:10">
      <c r="C88" s="2" t="s">
        <v>373</v>
      </c>
      <c r="D88" s="2"/>
      <c r="E88" s="2"/>
      <c r="F88" s="312"/>
      <c r="G88" s="312"/>
      <c r="H88" s="312"/>
      <c r="I88" s="332" t="s">
        <v>14</v>
      </c>
      <c r="J88" s="332" t="s">
        <v>14</v>
      </c>
    </row>
    <row r="89" spans="2:10">
      <c r="C89" s="2" t="s">
        <v>374</v>
      </c>
      <c r="D89" s="2"/>
      <c r="E89" s="2"/>
      <c r="F89" s="312"/>
      <c r="G89" s="312"/>
      <c r="H89" s="312"/>
      <c r="I89" s="332" t="s">
        <v>14</v>
      </c>
      <c r="J89" s="332" t="s">
        <v>14</v>
      </c>
    </row>
    <row r="90" spans="2:10">
      <c r="C90" s="2" t="s">
        <v>375</v>
      </c>
      <c r="D90" s="2"/>
      <c r="E90" s="2"/>
      <c r="F90" s="312"/>
      <c r="G90" s="312"/>
      <c r="H90" s="312"/>
      <c r="I90" s="332" t="s">
        <v>14</v>
      </c>
      <c r="J90" s="332" t="s">
        <v>14</v>
      </c>
    </row>
    <row r="91" spans="2:10">
      <c r="C91" s="2" t="s">
        <v>376</v>
      </c>
      <c r="D91" s="2"/>
      <c r="E91" s="2"/>
      <c r="F91" s="312"/>
      <c r="G91" s="312"/>
      <c r="H91" s="312"/>
      <c r="I91" s="332" t="s">
        <v>14</v>
      </c>
      <c r="J91" s="332" t="s">
        <v>14</v>
      </c>
    </row>
    <row r="92" spans="2:10">
      <c r="C92" s="308" t="s">
        <v>377</v>
      </c>
      <c r="D92" s="308"/>
      <c r="E92" s="308"/>
      <c r="F92" s="312"/>
      <c r="G92" s="312"/>
      <c r="H92" s="312"/>
      <c r="I92" s="364" t="s">
        <v>14</v>
      </c>
      <c r="J92" s="364" t="s">
        <v>14</v>
      </c>
    </row>
    <row r="93" spans="2:10">
      <c r="C93" s="2"/>
      <c r="D93" s="2"/>
      <c r="E93" s="2"/>
      <c r="F93" s="312"/>
      <c r="G93" s="312"/>
      <c r="H93" s="312"/>
      <c r="I93" s="331"/>
      <c r="J93" s="331"/>
    </row>
    <row r="94" spans="2:10">
      <c r="B94" s="309" t="s">
        <v>378</v>
      </c>
      <c r="C94" s="308"/>
      <c r="D94" s="308"/>
      <c r="E94" s="308"/>
      <c r="F94" s="313"/>
      <c r="G94" s="313"/>
      <c r="H94" s="313"/>
      <c r="I94" s="364" t="s">
        <v>14</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14</v>
      </c>
      <c r="J99" s="332" t="s">
        <v>14</v>
      </c>
    </row>
    <row r="100" spans="2:10">
      <c r="C100" s="2" t="s">
        <v>381</v>
      </c>
      <c r="D100" s="2"/>
      <c r="E100" s="2"/>
      <c r="F100" s="312"/>
      <c r="G100" s="312"/>
      <c r="H100" s="312"/>
      <c r="I100" s="332" t="s">
        <v>14</v>
      </c>
      <c r="J100" s="332" t="s">
        <v>14</v>
      </c>
    </row>
    <row r="101" spans="2:10">
      <c r="C101" s="2" t="s">
        <v>382</v>
      </c>
      <c r="D101" s="2"/>
      <c r="E101" s="2"/>
      <c r="F101" s="312"/>
      <c r="G101" s="312"/>
      <c r="H101" s="312"/>
      <c r="I101" s="332" t="s">
        <v>14</v>
      </c>
      <c r="J101" s="332" t="s">
        <v>14</v>
      </c>
    </row>
    <row r="102" spans="2:10">
      <c r="C102" s="308" t="s">
        <v>534</v>
      </c>
      <c r="D102" s="2"/>
      <c r="E102" s="2"/>
      <c r="F102" s="312"/>
      <c r="G102" s="312"/>
      <c r="H102" s="312"/>
      <c r="I102" s="364" t="s">
        <v>14</v>
      </c>
      <c r="J102" s="364" t="s">
        <v>14</v>
      </c>
    </row>
    <row r="103" spans="2:10">
      <c r="C103" s="2" t="s">
        <v>524</v>
      </c>
      <c r="D103" s="2"/>
      <c r="E103" s="2"/>
      <c r="F103" s="312"/>
      <c r="G103" s="312"/>
      <c r="H103" s="312"/>
      <c r="I103" s="332" t="s">
        <v>14</v>
      </c>
      <c r="J103" s="332" t="s">
        <v>14</v>
      </c>
    </row>
    <row r="104" spans="2:10">
      <c r="C104" s="2" t="s">
        <v>383</v>
      </c>
      <c r="D104" s="2"/>
      <c r="E104" s="2"/>
      <c r="F104" s="312"/>
      <c r="G104" s="312"/>
      <c r="H104" s="312"/>
      <c r="I104" s="332" t="s">
        <v>14</v>
      </c>
      <c r="J104" s="332" t="s">
        <v>14</v>
      </c>
    </row>
    <row r="105" spans="2:10">
      <c r="C105" s="2" t="s">
        <v>384</v>
      </c>
      <c r="D105" s="2"/>
      <c r="E105" s="2"/>
      <c r="F105" s="312"/>
      <c r="G105" s="312"/>
      <c r="H105" s="312"/>
      <c r="I105" s="332" t="s">
        <v>14</v>
      </c>
      <c r="J105" s="332" t="s">
        <v>14</v>
      </c>
    </row>
    <row r="106" spans="2:10">
      <c r="C106" s="2" t="s">
        <v>544</v>
      </c>
      <c r="D106" s="2"/>
      <c r="E106" s="2"/>
      <c r="F106" s="312"/>
      <c r="G106" s="312"/>
      <c r="H106" s="312"/>
      <c r="I106" s="332" t="s">
        <v>14</v>
      </c>
      <c r="J106" s="332" t="s">
        <v>14</v>
      </c>
    </row>
    <row r="107" spans="2:10">
      <c r="C107" s="2" t="s">
        <v>385</v>
      </c>
      <c r="D107" s="2"/>
      <c r="E107" s="2"/>
      <c r="F107" s="312"/>
      <c r="G107" s="312"/>
      <c r="H107" s="312"/>
      <c r="I107" s="332" t="s">
        <v>14</v>
      </c>
      <c r="J107" s="332" t="s">
        <v>14</v>
      </c>
    </row>
    <row r="108" spans="2:10">
      <c r="C108" s="2" t="s">
        <v>386</v>
      </c>
      <c r="D108" s="2"/>
      <c r="E108" s="2"/>
      <c r="F108" s="312"/>
      <c r="G108" s="312"/>
      <c r="H108" s="312"/>
      <c r="I108" s="332" t="s">
        <v>14</v>
      </c>
      <c r="J108" s="332" t="s">
        <v>14</v>
      </c>
    </row>
    <row r="109" spans="2:10">
      <c r="C109" s="2" t="s">
        <v>523</v>
      </c>
      <c r="D109" s="2"/>
      <c r="E109" s="2"/>
      <c r="F109" s="312"/>
      <c r="G109" s="312"/>
      <c r="H109" s="312"/>
      <c r="I109" s="332" t="s">
        <v>14</v>
      </c>
      <c r="J109" s="332" t="s">
        <v>14</v>
      </c>
    </row>
    <row r="110" spans="2:10">
      <c r="C110" s="308" t="s">
        <v>526</v>
      </c>
      <c r="D110" s="2"/>
      <c r="E110" s="2"/>
      <c r="F110" s="312"/>
      <c r="G110" s="312"/>
      <c r="H110" s="312"/>
      <c r="I110" s="364" t="s">
        <v>14</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t="s">
        <v>14</v>
      </c>
      <c r="J115" s="332" t="s">
        <v>14</v>
      </c>
    </row>
    <row r="116" spans="3:10">
      <c r="C116" s="315" t="s">
        <v>342</v>
      </c>
      <c r="D116" s="315"/>
      <c r="E116" s="315"/>
      <c r="F116" s="315"/>
      <c r="G116" s="315"/>
      <c r="H116" s="315"/>
      <c r="I116" s="332" t="s">
        <v>14</v>
      </c>
      <c r="J116" s="332" t="s">
        <v>14</v>
      </c>
    </row>
    <row r="117" spans="3:10">
      <c r="C117" s="315" t="s">
        <v>390</v>
      </c>
      <c r="D117" s="315"/>
      <c r="E117" s="315"/>
      <c r="F117" s="315"/>
      <c r="G117" s="315"/>
      <c r="H117" s="315"/>
      <c r="I117" s="332" t="s">
        <v>14</v>
      </c>
      <c r="J117" s="332" t="s">
        <v>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t="s">
        <v>14</v>
      </c>
      <c r="J120" s="332" t="s">
        <v>14</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534"/>
      <c r="J123" s="534"/>
    </row>
    <row r="124" spans="3:10">
      <c r="C124" s="315" t="s">
        <v>392</v>
      </c>
      <c r="D124" s="315"/>
      <c r="E124" s="315"/>
      <c r="F124" s="315"/>
      <c r="G124" s="315"/>
      <c r="H124" s="315"/>
      <c r="I124" s="332" t="s">
        <v>14</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534"/>
      <c r="J128" s="534"/>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t="s">
        <v>14</v>
      </c>
      <c r="J134" s="332" t="s">
        <v>14</v>
      </c>
    </row>
    <row r="135" spans="2:10">
      <c r="C135" s="2" t="s">
        <v>398</v>
      </c>
      <c r="D135" s="2"/>
      <c r="E135" s="2"/>
      <c r="F135" s="312"/>
      <c r="G135" s="312"/>
      <c r="H135" s="312"/>
      <c r="I135" s="332" t="s">
        <v>14</v>
      </c>
      <c r="J135" s="332" t="s">
        <v>14</v>
      </c>
    </row>
    <row r="136" spans="2:10">
      <c r="C136" s="2" t="s">
        <v>399</v>
      </c>
      <c r="D136" s="2"/>
      <c r="E136" s="2"/>
      <c r="F136" s="312"/>
      <c r="G136" s="312"/>
      <c r="H136" s="312"/>
      <c r="I136" s="332" t="s">
        <v>14</v>
      </c>
      <c r="J136" s="332" t="s">
        <v>14</v>
      </c>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332" t="s">
        <v>14</v>
      </c>
      <c r="J139" s="332" t="s">
        <v>14</v>
      </c>
    </row>
    <row r="140" spans="2:10">
      <c r="C140" s="2" t="s">
        <v>402</v>
      </c>
      <c r="D140" s="2"/>
      <c r="E140" s="2"/>
      <c r="F140" s="312"/>
      <c r="G140" s="312"/>
      <c r="H140" s="312"/>
      <c r="I140" s="332" t="s">
        <v>14</v>
      </c>
      <c r="J140" s="332" t="s">
        <v>14</v>
      </c>
    </row>
    <row r="141" spans="2:10">
      <c r="C141" s="312" t="s">
        <v>403</v>
      </c>
      <c r="D141" s="312"/>
      <c r="E141" s="312"/>
      <c r="F141" s="312"/>
      <c r="G141" s="312"/>
      <c r="H141" s="312"/>
      <c r="I141" s="332" t="s">
        <v>14</v>
      </c>
      <c r="J141" s="332" t="s">
        <v>14</v>
      </c>
    </row>
    <row r="142" spans="2:10">
      <c r="C142" s="312" t="s">
        <v>404</v>
      </c>
      <c r="D142" s="312"/>
      <c r="E142" s="312"/>
      <c r="F142" s="312"/>
      <c r="G142" s="312"/>
      <c r="H142" s="312"/>
      <c r="I142" s="332" t="s">
        <v>14</v>
      </c>
      <c r="J142" s="332" t="s">
        <v>14</v>
      </c>
    </row>
    <row r="143" spans="2:10">
      <c r="C143" s="312" t="s">
        <v>405</v>
      </c>
      <c r="D143" s="312"/>
      <c r="E143" s="312"/>
      <c r="F143" s="312"/>
      <c r="G143" s="312"/>
      <c r="H143" s="312"/>
      <c r="I143" s="332" t="s">
        <v>14</v>
      </c>
      <c r="J143" s="332" t="s">
        <v>14</v>
      </c>
    </row>
    <row r="144" spans="2:10">
      <c r="C144" s="2" t="s">
        <v>406</v>
      </c>
      <c r="D144" s="2"/>
      <c r="E144" s="2"/>
      <c r="F144" s="312"/>
      <c r="G144" s="312"/>
      <c r="H144" s="312"/>
      <c r="I144" s="332" t="s">
        <v>14</v>
      </c>
      <c r="J144" s="332" t="s">
        <v>14</v>
      </c>
    </row>
    <row r="145" spans="3:10">
      <c r="C145" s="2" t="s">
        <v>407</v>
      </c>
      <c r="D145" s="2"/>
      <c r="E145" s="2"/>
      <c r="F145" s="312"/>
      <c r="G145" s="312"/>
      <c r="H145" s="312"/>
      <c r="I145" s="332" t="s">
        <v>14</v>
      </c>
      <c r="J145" s="332" t="s">
        <v>14</v>
      </c>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2" t="s">
        <v>14</v>
      </c>
      <c r="J148" s="332" t="s">
        <v>14</v>
      </c>
    </row>
    <row r="149" spans="3:10">
      <c r="C149" s="312" t="s">
        <v>411</v>
      </c>
      <c r="D149" s="312"/>
      <c r="E149" s="312"/>
      <c r="F149" s="312"/>
      <c r="G149" s="312"/>
      <c r="H149" s="312"/>
      <c r="I149" s="332" t="s">
        <v>14</v>
      </c>
      <c r="J149" s="332" t="s">
        <v>14</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2" t="s">
        <v>14</v>
      </c>
      <c r="J154" s="332" t="s">
        <v>14</v>
      </c>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2" t="s">
        <v>14</v>
      </c>
      <c r="J156" s="332" t="s">
        <v>14</v>
      </c>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2" t="s">
        <v>14</v>
      </c>
      <c r="J162" s="332" t="s">
        <v>14</v>
      </c>
    </row>
    <row r="163" spans="3:10">
      <c r="C163" s="312" t="s">
        <v>425</v>
      </c>
      <c r="D163" s="312"/>
      <c r="E163" s="312"/>
      <c r="F163" s="312"/>
      <c r="G163" s="312"/>
      <c r="H163" s="312"/>
      <c r="I163" s="332" t="s">
        <v>14</v>
      </c>
      <c r="J163" s="332" t="s">
        <v>14</v>
      </c>
    </row>
    <row r="164" spans="3:10">
      <c r="C164" s="312" t="s">
        <v>426</v>
      </c>
      <c r="D164" s="312"/>
      <c r="E164" s="312"/>
      <c r="F164" s="312"/>
      <c r="G164" s="312"/>
      <c r="H164" s="312"/>
      <c r="I164" s="332" t="s">
        <v>14</v>
      </c>
      <c r="J164" s="332" t="s">
        <v>14</v>
      </c>
    </row>
    <row r="165" spans="3:10">
      <c r="C165" s="315" t="s">
        <v>427</v>
      </c>
      <c r="D165" s="315"/>
      <c r="E165" s="315"/>
      <c r="F165" s="315"/>
      <c r="G165" s="315"/>
      <c r="H165" s="315"/>
      <c r="I165" s="332" t="s">
        <v>14</v>
      </c>
      <c r="J165" s="332" t="s">
        <v>14</v>
      </c>
    </row>
    <row r="166" spans="3:10">
      <c r="C166" s="315" t="s">
        <v>428</v>
      </c>
      <c r="D166" s="315"/>
      <c r="E166" s="315"/>
      <c r="F166" s="315"/>
      <c r="G166" s="315"/>
      <c r="H166" s="315"/>
      <c r="I166" s="332" t="s">
        <v>14</v>
      </c>
      <c r="J166" s="332" t="s">
        <v>14</v>
      </c>
    </row>
    <row r="167" spans="3:10">
      <c r="C167" s="312" t="s">
        <v>429</v>
      </c>
      <c r="D167" s="312"/>
      <c r="E167" s="312"/>
      <c r="F167" s="312"/>
      <c r="G167" s="312"/>
      <c r="H167" s="312"/>
      <c r="I167" s="332" t="s">
        <v>14</v>
      </c>
      <c r="J167" s="332" t="s">
        <v>14</v>
      </c>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2" t="s">
        <v>14</v>
      </c>
      <c r="J170" s="332" t="s">
        <v>14</v>
      </c>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2" t="s">
        <v>14</v>
      </c>
      <c r="J173" s="332" t="s">
        <v>14</v>
      </c>
    </row>
    <row r="174" spans="3:10">
      <c r="C174" s="315" t="s">
        <v>432</v>
      </c>
      <c r="D174" s="315"/>
      <c r="E174" s="315"/>
      <c r="F174" s="315"/>
      <c r="G174" s="315"/>
      <c r="H174" s="315"/>
      <c r="I174" s="332" t="s">
        <v>14</v>
      </c>
      <c r="J174" s="332" t="s">
        <v>14</v>
      </c>
    </row>
    <row r="175" spans="3:10">
      <c r="C175" s="315" t="s">
        <v>433</v>
      </c>
      <c r="D175" s="315"/>
      <c r="E175" s="315"/>
      <c r="F175" s="315"/>
      <c r="G175" s="315"/>
      <c r="H175" s="315"/>
      <c r="I175" s="332" t="s">
        <v>14</v>
      </c>
      <c r="J175" s="332" t="s">
        <v>14</v>
      </c>
    </row>
    <row r="176" spans="3:10">
      <c r="C176" s="315" t="s">
        <v>434</v>
      </c>
      <c r="D176" s="315"/>
      <c r="E176" s="315"/>
      <c r="F176" s="315"/>
      <c r="G176" s="315"/>
      <c r="H176" s="315"/>
      <c r="I176" s="332" t="s">
        <v>14</v>
      </c>
      <c r="J176" s="332" t="s">
        <v>14</v>
      </c>
    </row>
    <row r="177" spans="3:10">
      <c r="C177" s="315" t="s">
        <v>435</v>
      </c>
      <c r="D177" s="315"/>
      <c r="E177" s="315"/>
      <c r="F177" s="315"/>
      <c r="G177" s="315"/>
      <c r="H177" s="315"/>
      <c r="I177" s="332" t="s">
        <v>14</v>
      </c>
      <c r="J177" s="332" t="s">
        <v>14</v>
      </c>
    </row>
    <row r="178" spans="3:10">
      <c r="C178" s="310" t="s">
        <v>422</v>
      </c>
      <c r="D178" s="310"/>
      <c r="E178" s="310"/>
      <c r="F178" s="312"/>
      <c r="G178" s="312"/>
      <c r="H178" s="312"/>
      <c r="I178" s="332" t="s">
        <v>14</v>
      </c>
      <c r="J178" s="332" t="s">
        <v>14</v>
      </c>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2" t="s">
        <v>14</v>
      </c>
      <c r="J187" s="332" t="s">
        <v>14</v>
      </c>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2" t="s">
        <v>14</v>
      </c>
      <c r="J193" s="332" t="s">
        <v>14</v>
      </c>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2" t="s">
        <v>14</v>
      </c>
      <c r="J210" s="332" t="s">
        <v>14</v>
      </c>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v>40421</v>
      </c>
      <c r="J225" s="364">
        <v>40421</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332" t="s">
        <v>14</v>
      </c>
    </row>
    <row r="231" spans="2:10">
      <c r="C231" s="312" t="s">
        <v>477</v>
      </c>
      <c r="D231" s="312"/>
      <c r="E231" s="312"/>
      <c r="F231" s="312"/>
      <c r="G231" s="312"/>
      <c r="H231" s="312"/>
      <c r="I231" s="332" t="s">
        <v>14</v>
      </c>
      <c r="J231" s="332" t="s">
        <v>14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v>40451</v>
      </c>
      <c r="J235" s="364">
        <v>40451</v>
      </c>
    </row>
    <row r="236" spans="2:10">
      <c r="C236" s="308" t="s">
        <v>480</v>
      </c>
      <c r="D236" s="2"/>
      <c r="E236" s="2"/>
      <c r="F236" s="312"/>
      <c r="G236" s="312"/>
      <c r="H236" s="312"/>
      <c r="I236" s="332" t="s">
        <v>14</v>
      </c>
      <c r="J236" s="332" t="s">
        <v>14</v>
      </c>
    </row>
    <row r="237" spans="2:10">
      <c r="C237" s="2" t="s">
        <v>481</v>
      </c>
      <c r="D237" s="2"/>
      <c r="E237" s="2"/>
      <c r="F237" s="312"/>
      <c r="G237" s="312"/>
      <c r="H237" s="312"/>
      <c r="I237" s="364" t="s">
        <v>14</v>
      </c>
      <c r="J237" s="364" t="s">
        <v>14</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14</v>
      </c>
      <c r="J253" s="332" t="s">
        <v>14</v>
      </c>
    </row>
    <row r="254" spans="2:10">
      <c r="C254" s="308" t="s">
        <v>539</v>
      </c>
      <c r="D254" s="2"/>
      <c r="E254" s="2"/>
      <c r="F254" s="312"/>
      <c r="G254" s="312"/>
      <c r="H254" s="312"/>
      <c r="I254" s="364" t="s">
        <v>14</v>
      </c>
      <c r="J254" s="364" t="s">
        <v>14</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14</v>
      </c>
      <c r="J267" s="332" t="s">
        <v>14</v>
      </c>
    </row>
    <row r="268" spans="2:10">
      <c r="C268" s="312" t="s">
        <v>495</v>
      </c>
      <c r="D268" s="312"/>
      <c r="E268" s="312"/>
      <c r="F268" s="312"/>
      <c r="G268" s="312"/>
      <c r="H268" s="312"/>
      <c r="I268" s="332" t="s">
        <v>14</v>
      </c>
      <c r="J268" s="332" t="s">
        <v>14</v>
      </c>
    </row>
    <row r="269" spans="2:10">
      <c r="C269" s="312" t="s">
        <v>496</v>
      </c>
      <c r="D269" s="312"/>
      <c r="E269" s="312"/>
      <c r="F269" s="312"/>
      <c r="G269" s="312"/>
      <c r="H269" s="312"/>
      <c r="I269" s="332" t="s">
        <v>14</v>
      </c>
      <c r="J269" s="332" t="s">
        <v>14</v>
      </c>
    </row>
    <row r="270" spans="2:10">
      <c r="C270" s="312" t="s">
        <v>497</v>
      </c>
      <c r="D270" s="312"/>
      <c r="E270" s="312"/>
      <c r="F270" s="312"/>
      <c r="G270" s="312"/>
      <c r="H270" s="312"/>
      <c r="I270" s="332" t="s">
        <v>14</v>
      </c>
      <c r="J270" s="332" t="s">
        <v>14</v>
      </c>
    </row>
    <row r="271" spans="2:10">
      <c r="C271" s="312" t="s">
        <v>498</v>
      </c>
      <c r="D271" s="312"/>
      <c r="E271" s="312"/>
      <c r="F271" s="312"/>
      <c r="G271" s="312"/>
      <c r="H271" s="312"/>
      <c r="I271" s="332" t="s">
        <v>14</v>
      </c>
      <c r="J271" s="332" t="s">
        <v>14</v>
      </c>
    </row>
    <row r="272" spans="2:10">
      <c r="C272" s="312" t="s">
        <v>499</v>
      </c>
      <c r="D272" s="312"/>
      <c r="E272" s="312"/>
      <c r="F272" s="312"/>
      <c r="G272" s="312"/>
      <c r="H272" s="312"/>
      <c r="I272" s="332" t="s">
        <v>14</v>
      </c>
      <c r="J272" s="332" t="s">
        <v>14</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I291" s="2"/>
      <c r="J291" s="7"/>
      <c r="K291" s="2"/>
      <c r="L291" s="2"/>
      <c r="M291" s="301"/>
      <c r="N291" s="2"/>
      <c r="O291" s="301"/>
    </row>
  </sheetData>
  <sheetProtection selectLockedCells="1"/>
  <mergeCells count="109">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39:D39"/>
    <mergeCell ref="H39:M39"/>
    <mergeCell ref="C40:D40"/>
    <mergeCell ref="H40:M40"/>
    <mergeCell ref="C41:D41"/>
    <mergeCell ref="H41:M41"/>
    <mergeCell ref="C24:D24"/>
    <mergeCell ref="F24:G24"/>
    <mergeCell ref="K24:M24"/>
    <mergeCell ref="C27:M34"/>
    <mergeCell ref="H37:M37"/>
    <mergeCell ref="C38:D38"/>
    <mergeCell ref="H38:M38"/>
    <mergeCell ref="C45:D45"/>
    <mergeCell ref="H45:M45"/>
    <mergeCell ref="C46:D46"/>
    <mergeCell ref="H46:M46"/>
    <mergeCell ref="C47:D47"/>
    <mergeCell ref="H47:M47"/>
    <mergeCell ref="C42:D42"/>
    <mergeCell ref="H42:M42"/>
    <mergeCell ref="C43:D43"/>
    <mergeCell ref="H43:M43"/>
    <mergeCell ref="C44:D44"/>
    <mergeCell ref="H44:M44"/>
    <mergeCell ref="C51:D51"/>
    <mergeCell ref="H51:M51"/>
    <mergeCell ref="C52:D52"/>
    <mergeCell ref="H52:M52"/>
    <mergeCell ref="C53:D53"/>
    <mergeCell ref="H53:M53"/>
    <mergeCell ref="C48:D48"/>
    <mergeCell ref="H48:M48"/>
    <mergeCell ref="C49:D49"/>
    <mergeCell ref="H49:M49"/>
    <mergeCell ref="C50:D50"/>
    <mergeCell ref="H50:M50"/>
    <mergeCell ref="I65:J65"/>
    <mergeCell ref="C57:D57"/>
    <mergeCell ref="H57:M57"/>
    <mergeCell ref="C58:D58"/>
    <mergeCell ref="H58:M58"/>
    <mergeCell ref="I63:J63"/>
    <mergeCell ref="I64:J64"/>
    <mergeCell ref="C54:D54"/>
    <mergeCell ref="H54:M54"/>
    <mergeCell ref="C55:D55"/>
    <mergeCell ref="H55:M55"/>
    <mergeCell ref="C56:D56"/>
    <mergeCell ref="H56:M56"/>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4">
    <tabColor rgb="FF00B0F0"/>
  </sheetPr>
  <dimension ref="B1:U291"/>
  <sheetViews>
    <sheetView topLeftCell="A6" workbookViewId="0">
      <selection activeCell="Q21" sqref="Q21"/>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Detail!A37</f>
        <v>850 N Eastwood</v>
      </c>
      <c r="D2" s="341"/>
      <c r="E2" s="341"/>
      <c r="F2" s="120"/>
      <c r="G2" s="120"/>
      <c r="H2" s="120"/>
      <c r="I2" s="120"/>
      <c r="J2" s="120"/>
      <c r="K2" s="120"/>
      <c r="L2" s="120"/>
      <c r="M2" s="121"/>
      <c r="N2" s="319"/>
    </row>
    <row r="3" spans="2:21" s="122" customFormat="1" ht="20.25" customHeight="1" thickBot="1">
      <c r="B3" s="319"/>
      <c r="C3" s="136" t="str">
        <f>Detail!B37</f>
        <v>M Angelini</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Detail!V37</f>
        <v>Family</v>
      </c>
      <c r="G6" s="836"/>
      <c r="H6" s="357"/>
      <c r="I6" s="833" t="s">
        <v>219</v>
      </c>
      <c r="J6" s="834"/>
      <c r="K6" s="834"/>
      <c r="L6" s="837" t="str">
        <f>Detail!I37</f>
        <v>LIHTC - 4%</v>
      </c>
      <c r="M6" s="838"/>
      <c r="N6" s="318"/>
    </row>
    <row r="7" spans="2:21" ht="17.25" customHeight="1">
      <c r="B7" s="318"/>
      <c r="C7" s="796" t="s">
        <v>214</v>
      </c>
      <c r="D7" s="797"/>
      <c r="E7" s="352"/>
      <c r="F7" s="819" t="str">
        <f>Detail!C37</f>
        <v>Chicago</v>
      </c>
      <c r="G7" s="820"/>
      <c r="H7" s="357"/>
      <c r="I7" s="796" t="s">
        <v>183</v>
      </c>
      <c r="J7" s="797"/>
      <c r="K7" s="797"/>
      <c r="L7" s="830" t="str">
        <f>Detail!J37</f>
        <v>Local: City/County Funding</v>
      </c>
      <c r="M7" s="831"/>
      <c r="N7" s="318"/>
    </row>
    <row r="8" spans="2:21">
      <c r="B8" s="318"/>
      <c r="C8" s="796" t="s">
        <v>9</v>
      </c>
      <c r="D8" s="797"/>
      <c r="E8" s="352"/>
      <c r="F8" s="819" t="str">
        <f>Detail!D37</f>
        <v>Acquisition/ Rehab</v>
      </c>
      <c r="G8" s="820"/>
      <c r="H8" s="357"/>
      <c r="I8" s="796" t="s">
        <v>184</v>
      </c>
      <c r="J8" s="797"/>
      <c r="K8" s="797"/>
      <c r="L8" s="830" t="str">
        <f>Detail!K37</f>
        <v>Local: State Funding</v>
      </c>
      <c r="M8" s="831"/>
      <c r="N8" s="318"/>
    </row>
    <row r="9" spans="2:21">
      <c r="B9" s="318"/>
      <c r="C9" s="796" t="s">
        <v>215</v>
      </c>
      <c r="D9" s="797"/>
      <c r="E9" s="353"/>
      <c r="F9" s="832">
        <f>Detail!T37</f>
        <v>231</v>
      </c>
      <c r="G9" s="820"/>
      <c r="H9" s="357"/>
      <c r="I9" s="796" t="s">
        <v>185</v>
      </c>
      <c r="J9" s="797"/>
      <c r="K9" s="797"/>
      <c r="L9" s="830" t="str">
        <f>Detail!L37</f>
        <v>N/A</v>
      </c>
      <c r="M9" s="831"/>
      <c r="N9" s="318"/>
    </row>
    <row r="10" spans="2:21" ht="17.25" customHeight="1">
      <c r="B10" s="318"/>
      <c r="C10" s="796" t="s">
        <v>216</v>
      </c>
      <c r="D10" s="797"/>
      <c r="E10" s="352"/>
      <c r="F10" s="819" t="str">
        <f>Detail!V37</f>
        <v>Family</v>
      </c>
      <c r="G10" s="820"/>
      <c r="H10" s="357"/>
      <c r="I10" s="796" t="s">
        <v>44</v>
      </c>
      <c r="J10" s="797"/>
      <c r="K10" s="797"/>
      <c r="L10" s="800">
        <f>Detail!AB37</f>
        <v>53000000</v>
      </c>
      <c r="M10" s="801"/>
      <c r="N10" s="318"/>
    </row>
    <row r="11" spans="2:21" ht="17.25" customHeight="1">
      <c r="B11" s="318"/>
      <c r="C11" s="361"/>
      <c r="D11" s="362"/>
      <c r="E11" s="352"/>
      <c r="F11" s="819" t="str">
        <f>Detail!W37</f>
        <v>Workforce</v>
      </c>
      <c r="G11" s="820"/>
      <c r="H11" s="357"/>
      <c r="I11" s="796" t="s">
        <v>602</v>
      </c>
      <c r="J11" s="797"/>
      <c r="K11" s="530"/>
      <c r="L11" s="828" t="str">
        <f>Detail!AG37</f>
        <v xml:space="preserve">B of A </v>
      </c>
      <c r="M11" s="829"/>
      <c r="N11" s="318"/>
    </row>
    <row r="12" spans="2:21">
      <c r="B12" s="318"/>
      <c r="C12" s="361"/>
      <c r="D12" s="362"/>
      <c r="E12" s="352"/>
      <c r="F12" s="819" t="str">
        <f>Detail!X37</f>
        <v>N/A</v>
      </c>
      <c r="G12" s="820"/>
      <c r="H12" s="357"/>
      <c r="I12" s="796" t="s">
        <v>603</v>
      </c>
      <c r="J12" s="797"/>
      <c r="K12" s="797"/>
      <c r="L12" s="828">
        <f>Detail!N37</f>
        <v>2009</v>
      </c>
      <c r="M12" s="829"/>
      <c r="N12" s="318"/>
    </row>
    <row r="13" spans="2:21" ht="17.25" customHeight="1">
      <c r="B13" s="318"/>
      <c r="C13" s="796" t="s">
        <v>525</v>
      </c>
      <c r="D13" s="797"/>
      <c r="E13" s="354"/>
      <c r="F13" s="827" t="str">
        <f>Detail!AM37</f>
        <v>Leasing &amp; Mgmt Corp.</v>
      </c>
      <c r="G13" s="820"/>
      <c r="H13" s="357"/>
      <c r="I13" s="796" t="s">
        <v>256</v>
      </c>
      <c r="J13" s="797"/>
      <c r="K13" s="797"/>
      <c r="L13" s="800">
        <f>Detail!AC37</f>
        <v>15528440</v>
      </c>
      <c r="M13" s="801"/>
      <c r="N13" s="318"/>
    </row>
    <row r="14" spans="2:21" ht="35.25" customHeight="1">
      <c r="B14" s="318"/>
      <c r="C14" s="796" t="s">
        <v>172</v>
      </c>
      <c r="D14" s="797"/>
      <c r="E14" s="352"/>
      <c r="F14" s="819" t="str">
        <f>Detail!Z37</f>
        <v>Service Coordination</v>
      </c>
      <c r="G14" s="820"/>
      <c r="H14" s="357"/>
      <c r="I14" s="796" t="s">
        <v>257</v>
      </c>
      <c r="J14" s="797"/>
      <c r="K14" s="797"/>
      <c r="L14" s="800">
        <f>Detail!AF37</f>
        <v>11801612.9</v>
      </c>
      <c r="M14" s="801"/>
      <c r="N14" s="318"/>
    </row>
    <row r="15" spans="2:21" ht="17.25" customHeight="1" thickBot="1">
      <c r="B15" s="318"/>
      <c r="C15" s="796" t="s">
        <v>217</v>
      </c>
      <c r="D15" s="797"/>
      <c r="E15" s="355"/>
      <c r="F15" s="819" t="str">
        <f>Detail!AA37</f>
        <v>Property Operations</v>
      </c>
      <c r="G15" s="820"/>
      <c r="H15" s="357"/>
      <c r="I15" s="821" t="s">
        <v>255</v>
      </c>
      <c r="J15" s="822"/>
      <c r="K15" s="822"/>
      <c r="L15" s="823">
        <f>Detail!AD37</f>
        <v>1552844</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Detail!AH37</f>
        <v>5882000</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Detail!AJ37</f>
        <v>3000</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Detail!AI37</f>
        <v>5879000</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33" customHeight="1" thickTop="1">
      <c r="B21" s="320"/>
      <c r="C21" s="804" t="s">
        <v>46</v>
      </c>
      <c r="D21" s="805"/>
      <c r="E21" s="349"/>
      <c r="F21" s="806" t="str">
        <f>Detail!F37</f>
        <v>Operations - Sub Phase Lease Up</v>
      </c>
      <c r="G21" s="807"/>
      <c r="H21" s="359"/>
      <c r="I21" s="804" t="s">
        <v>226</v>
      </c>
      <c r="J21" s="805"/>
      <c r="K21" s="805"/>
      <c r="L21" s="808">
        <f>Detail!Q37</f>
        <v>0.95</v>
      </c>
      <c r="M21" s="809"/>
      <c r="N21" s="320"/>
    </row>
    <row r="22" spans="2:21" s="88" customFormat="1" ht="17.25" customHeight="1">
      <c r="B22" s="320"/>
      <c r="C22" s="796" t="s">
        <v>223</v>
      </c>
      <c r="D22" s="797"/>
      <c r="E22" s="348"/>
      <c r="F22" s="798">
        <f>Detail!P37</f>
        <v>40391</v>
      </c>
      <c r="G22" s="799"/>
      <c r="H22" s="359"/>
      <c r="I22" s="796" t="s">
        <v>227</v>
      </c>
      <c r="J22" s="797"/>
      <c r="K22" s="797"/>
      <c r="L22" s="800">
        <f>Detail!AO37+Detail!AP37+Detail!AQ37+Detail!AR37</f>
        <v>172500</v>
      </c>
      <c r="M22" s="801"/>
      <c r="N22" s="320"/>
    </row>
    <row r="23" spans="2:21" s="88" customFormat="1" ht="17.25" customHeight="1">
      <c r="B23" s="320"/>
      <c r="C23" s="796" t="s">
        <v>224</v>
      </c>
      <c r="D23" s="797"/>
      <c r="E23" s="348"/>
      <c r="F23" s="798">
        <f>Detail!R37</f>
        <v>40391</v>
      </c>
      <c r="G23" s="799"/>
      <c r="H23" s="359"/>
      <c r="I23" s="796" t="s">
        <v>228</v>
      </c>
      <c r="J23" s="797"/>
      <c r="K23" s="797"/>
      <c r="L23" s="800">
        <f>Detail!BG37</f>
        <v>637500</v>
      </c>
      <c r="M23" s="801"/>
      <c r="N23" s="320"/>
    </row>
    <row r="24" spans="2:21" s="88" customFormat="1" ht="17.25" customHeight="1" thickBot="1">
      <c r="B24" s="320"/>
      <c r="C24" s="778" t="s">
        <v>225</v>
      </c>
      <c r="D24" s="779"/>
      <c r="E24" s="533"/>
      <c r="F24" s="780">
        <f>Detail!S37</f>
        <v>40969</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t="s">
        <v>746</v>
      </c>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850 N Eastwood</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c r="B38" s="322"/>
      <c r="C38" s="792" t="s">
        <v>514</v>
      </c>
      <c r="D38" s="793"/>
      <c r="E38" s="344"/>
      <c r="F38" s="368" t="str">
        <f>I92</f>
        <v>TBD</v>
      </c>
      <c r="G38" s="368" t="str">
        <f>J92</f>
        <v>TBD</v>
      </c>
      <c r="H38" s="794"/>
      <c r="I38" s="794"/>
      <c r="J38" s="794"/>
      <c r="K38" s="794"/>
      <c r="L38" s="794"/>
      <c r="M38" s="795"/>
      <c r="N38" s="322"/>
    </row>
    <row r="39" spans="2:19" s="300" customFormat="1" ht="12.75" customHeight="1">
      <c r="B39" s="322"/>
      <c r="C39" s="774" t="s">
        <v>516</v>
      </c>
      <c r="D39" s="775"/>
      <c r="E39" s="532"/>
      <c r="F39" s="368" t="str">
        <f>I94</f>
        <v>TBD</v>
      </c>
      <c r="G39" s="369" t="str">
        <f>J94</f>
        <v>TBD</v>
      </c>
      <c r="H39" s="772"/>
      <c r="I39" s="772"/>
      <c r="J39" s="772"/>
      <c r="K39" s="772"/>
      <c r="L39" s="772"/>
      <c r="M39" s="773"/>
      <c r="N39" s="322"/>
    </row>
    <row r="40" spans="2:19" s="300" customFormat="1">
      <c r="B40" s="322"/>
      <c r="C40" s="774" t="s">
        <v>344</v>
      </c>
      <c r="D40" s="775"/>
      <c r="E40" s="532"/>
      <c r="F40" s="368" t="str">
        <f>I96</f>
        <v>TBD</v>
      </c>
      <c r="G40" s="368" t="str">
        <f>J96</f>
        <v>TBD</v>
      </c>
      <c r="H40" s="772"/>
      <c r="I40" s="772"/>
      <c r="J40" s="772"/>
      <c r="K40" s="772"/>
      <c r="L40" s="772"/>
      <c r="M40" s="773"/>
      <c r="N40" s="322"/>
    </row>
    <row r="41" spans="2:19" s="300" customFormat="1" ht="12.75" customHeight="1">
      <c r="B41" s="322"/>
      <c r="C41" s="774" t="s">
        <v>535</v>
      </c>
      <c r="D41" s="775"/>
      <c r="E41" s="532"/>
      <c r="F41" s="368" t="str">
        <f>'850 Eastwood'!I102</f>
        <v>TBD</v>
      </c>
      <c r="G41" s="368" t="str">
        <f>J102</f>
        <v>TBD</v>
      </c>
      <c r="H41" s="772"/>
      <c r="I41" s="772"/>
      <c r="J41" s="772"/>
      <c r="K41" s="772"/>
      <c r="L41" s="772"/>
      <c r="M41" s="773"/>
      <c r="N41" s="322"/>
      <c r="P41" s="358"/>
      <c r="Q41" s="358"/>
      <c r="R41" s="358"/>
      <c r="S41" s="358"/>
    </row>
    <row r="42" spans="2:19" s="300" customFormat="1">
      <c r="B42" s="322"/>
      <c r="C42" s="774" t="s">
        <v>536</v>
      </c>
      <c r="D42" s="775"/>
      <c r="E42" s="532"/>
      <c r="F42" s="368" t="str">
        <f>I110</f>
        <v>TBD</v>
      </c>
      <c r="G42" s="368" t="str">
        <f>J110</f>
        <v>TBD</v>
      </c>
      <c r="H42" s="772"/>
      <c r="I42" s="772"/>
      <c r="J42" s="772"/>
      <c r="K42" s="772"/>
      <c r="L42" s="772"/>
      <c r="M42" s="773"/>
      <c r="N42" s="322"/>
      <c r="P42" s="358"/>
      <c r="Q42" s="358"/>
      <c r="R42" s="358"/>
      <c r="S42" s="358"/>
    </row>
    <row r="43" spans="2:19" s="300" customFormat="1">
      <c r="B43" s="322"/>
      <c r="C43" s="774" t="s">
        <v>517</v>
      </c>
      <c r="D43" s="775"/>
      <c r="E43" s="532"/>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32"/>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32"/>
      <c r="F45" s="368" t="str">
        <f>I200</f>
        <v>TBD</v>
      </c>
      <c r="G45" s="368" t="str">
        <f>J200</f>
        <v>TBD</v>
      </c>
      <c r="H45" s="772"/>
      <c r="I45" s="772"/>
      <c r="J45" s="772"/>
      <c r="K45" s="772"/>
      <c r="L45" s="772"/>
      <c r="M45" s="773"/>
      <c r="N45" s="322"/>
    </row>
    <row r="46" spans="2:19" s="300" customFormat="1">
      <c r="B46" s="322"/>
      <c r="C46" s="774" t="s">
        <v>538</v>
      </c>
      <c r="D46" s="775"/>
      <c r="E46" s="532"/>
      <c r="F46" s="368" t="str">
        <f>I232</f>
        <v>TBD</v>
      </c>
      <c r="G46" s="368" t="str">
        <f>J232</f>
        <v>TBD</v>
      </c>
      <c r="H46" s="772"/>
      <c r="I46" s="772"/>
      <c r="J46" s="772"/>
      <c r="K46" s="772"/>
      <c r="L46" s="772"/>
      <c r="M46" s="773"/>
      <c r="N46" s="322"/>
    </row>
    <row r="47" spans="2:19" s="300" customFormat="1" ht="14">
      <c r="B47" s="322"/>
      <c r="C47" s="774" t="s">
        <v>55</v>
      </c>
      <c r="D47" s="775"/>
      <c r="E47" s="532"/>
      <c r="F47" s="368">
        <f>I225</f>
        <v>40420</v>
      </c>
      <c r="G47" s="368">
        <f>J225</f>
        <v>40420</v>
      </c>
      <c r="H47" s="772"/>
      <c r="I47" s="772"/>
      <c r="J47" s="772"/>
      <c r="K47" s="772"/>
      <c r="L47" s="772"/>
      <c r="M47" s="773"/>
      <c r="N47" s="322"/>
    </row>
    <row r="48" spans="2:19" s="300" customFormat="1" ht="14">
      <c r="B48" s="322"/>
      <c r="C48" s="774" t="s">
        <v>346</v>
      </c>
      <c r="D48" s="775"/>
      <c r="E48" s="532"/>
      <c r="F48" s="368">
        <f>I235</f>
        <v>40420</v>
      </c>
      <c r="G48" s="368">
        <f>J235</f>
        <v>40420</v>
      </c>
      <c r="H48" s="772"/>
      <c r="I48" s="772"/>
      <c r="J48" s="772"/>
      <c r="K48" s="772"/>
      <c r="L48" s="772"/>
      <c r="M48" s="773"/>
      <c r="N48" s="322"/>
    </row>
    <row r="49" spans="2:14" s="300" customFormat="1">
      <c r="B49" s="322"/>
      <c r="C49" s="774" t="s">
        <v>347</v>
      </c>
      <c r="D49" s="775"/>
      <c r="E49" s="532"/>
      <c r="F49" s="368" t="str">
        <f>I237</f>
        <v>TBD</v>
      </c>
      <c r="G49" s="368" t="str">
        <f>J237</f>
        <v>TBD</v>
      </c>
      <c r="H49" s="772"/>
      <c r="I49" s="772"/>
      <c r="J49" s="772"/>
      <c r="K49" s="772"/>
      <c r="L49" s="772"/>
      <c r="M49" s="773"/>
      <c r="N49" s="322"/>
    </row>
    <row r="50" spans="2:14" s="300" customFormat="1">
      <c r="B50" s="322"/>
      <c r="C50" s="774" t="s">
        <v>348</v>
      </c>
      <c r="D50" s="775"/>
      <c r="E50" s="532"/>
      <c r="F50" s="368" t="str">
        <f>I254</f>
        <v>TBD</v>
      </c>
      <c r="G50" s="368" t="str">
        <f>J254</f>
        <v>TBD</v>
      </c>
      <c r="H50" s="772"/>
      <c r="I50" s="772"/>
      <c r="J50" s="772"/>
      <c r="K50" s="772"/>
      <c r="L50" s="772"/>
      <c r="M50" s="773"/>
      <c r="N50" s="322"/>
    </row>
    <row r="51" spans="2:14" s="300" customFormat="1">
      <c r="B51" s="322"/>
      <c r="C51" s="774" t="s">
        <v>65</v>
      </c>
      <c r="D51" s="775"/>
      <c r="E51" s="532"/>
      <c r="F51" s="368" t="str">
        <f>I255</f>
        <v>TBD</v>
      </c>
      <c r="G51" s="368" t="str">
        <f>J255</f>
        <v>TBD</v>
      </c>
      <c r="H51" s="772"/>
      <c r="I51" s="772"/>
      <c r="J51" s="772"/>
      <c r="K51" s="772"/>
      <c r="L51" s="772"/>
      <c r="M51" s="773"/>
      <c r="N51" s="322"/>
    </row>
    <row r="52" spans="2:14" s="300" customFormat="1">
      <c r="B52" s="322"/>
      <c r="C52" s="774" t="s">
        <v>540</v>
      </c>
      <c r="D52" s="775"/>
      <c r="E52" s="532"/>
      <c r="F52" s="368" t="str">
        <f>I273</f>
        <v>TBD</v>
      </c>
      <c r="G52" s="368" t="str">
        <f>J273</f>
        <v>TBD</v>
      </c>
      <c r="H52" s="772"/>
      <c r="I52" s="772"/>
      <c r="J52" s="772"/>
      <c r="K52" s="772"/>
      <c r="L52" s="772"/>
      <c r="M52" s="773"/>
      <c r="N52" s="322"/>
    </row>
    <row r="53" spans="2:14" s="300" customFormat="1">
      <c r="B53" s="322"/>
      <c r="C53" s="774" t="s">
        <v>542</v>
      </c>
      <c r="D53" s="775"/>
      <c r="E53" s="532"/>
      <c r="F53" s="368" t="str">
        <f>I276</f>
        <v>TBD</v>
      </c>
      <c r="G53" s="368" t="str">
        <f>J276</f>
        <v>TBD</v>
      </c>
      <c r="H53" s="772"/>
      <c r="I53" s="772"/>
      <c r="J53" s="772"/>
      <c r="K53" s="772"/>
      <c r="L53" s="772"/>
      <c r="M53" s="773"/>
      <c r="N53" s="322"/>
    </row>
    <row r="54" spans="2:14" s="300" customFormat="1">
      <c r="B54" s="322"/>
      <c r="C54" s="774">
        <v>8609</v>
      </c>
      <c r="D54" s="775"/>
      <c r="E54" s="532"/>
      <c r="F54" s="368" t="str">
        <f>I289</f>
        <v>TBD</v>
      </c>
      <c r="G54" s="368" t="str">
        <f>J289</f>
        <v>TBD</v>
      </c>
      <c r="H54" s="772"/>
      <c r="I54" s="772"/>
      <c r="J54" s="772"/>
      <c r="K54" s="772"/>
      <c r="L54" s="772"/>
      <c r="M54" s="773"/>
      <c r="N54" s="322"/>
    </row>
    <row r="55" spans="2:14" s="300" customForma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531"/>
      <c r="F56" s="338"/>
      <c r="G56" s="338"/>
      <c r="H56" s="772"/>
      <c r="I56" s="772"/>
      <c r="J56" s="772"/>
      <c r="K56" s="772"/>
      <c r="L56" s="772"/>
      <c r="M56" s="773"/>
      <c r="N56" s="322"/>
    </row>
    <row r="57" spans="2:14" s="300" customFormat="1" ht="14">
      <c r="B57" s="322"/>
      <c r="C57" s="770" t="s">
        <v>522</v>
      </c>
      <c r="D57" s="771"/>
      <c r="E57" s="531"/>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850 N Eastwood</v>
      </c>
      <c r="J63" s="769"/>
      <c r="K63" s="17"/>
      <c r="L63" s="17"/>
      <c r="M63" s="8"/>
      <c r="N63" s="17"/>
    </row>
    <row r="64" spans="2:14" ht="16" thickBot="1">
      <c r="C64" s="308" t="s">
        <v>351</v>
      </c>
      <c r="D64" s="308"/>
      <c r="E64" s="308"/>
      <c r="F64" s="308"/>
      <c r="H64" s="363"/>
      <c r="I64" s="768" t="str">
        <f>F7</f>
        <v>Chicago</v>
      </c>
      <c r="J64" s="769"/>
      <c r="K64" s="17"/>
      <c r="L64" s="17"/>
      <c r="M64" s="8"/>
      <c r="N64" s="17"/>
    </row>
    <row r="65" spans="2:15" ht="16" thickBot="1">
      <c r="C65" s="308" t="s">
        <v>352</v>
      </c>
      <c r="D65" s="308"/>
      <c r="E65" s="308"/>
      <c r="F65" s="308"/>
      <c r="H65" s="363"/>
      <c r="I65" s="768" t="str">
        <f>C3</f>
        <v>M Angelini</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t="s">
        <v>14</v>
      </c>
      <c r="J70" s="332" t="s">
        <v>14</v>
      </c>
    </row>
    <row r="71" spans="2:15">
      <c r="C71" s="2" t="s">
        <v>356</v>
      </c>
      <c r="D71" s="2"/>
      <c r="E71" s="2"/>
      <c r="F71" s="2"/>
      <c r="G71" s="2"/>
      <c r="H71" s="2"/>
      <c r="I71" s="332" t="s">
        <v>14</v>
      </c>
      <c r="J71" s="332" t="s">
        <v>14</v>
      </c>
    </row>
    <row r="72" spans="2:15">
      <c r="C72" s="2" t="s">
        <v>357</v>
      </c>
      <c r="D72" s="2"/>
      <c r="E72" s="2"/>
      <c r="F72" s="2"/>
      <c r="G72" s="2"/>
      <c r="H72" s="2"/>
      <c r="I72" s="332" t="s">
        <v>14</v>
      </c>
      <c r="J72" s="332" t="s">
        <v>14</v>
      </c>
    </row>
    <row r="73" spans="2:15">
      <c r="C73" s="2" t="s">
        <v>358</v>
      </c>
      <c r="D73" s="2"/>
      <c r="E73" s="2"/>
      <c r="F73" s="2"/>
      <c r="G73" s="2"/>
      <c r="H73" s="2"/>
      <c r="I73" s="332" t="s">
        <v>14</v>
      </c>
      <c r="J73" s="332" t="s">
        <v>14</v>
      </c>
    </row>
    <row r="74" spans="2:15">
      <c r="C74" s="312" t="s">
        <v>359</v>
      </c>
      <c r="D74" s="312"/>
      <c r="E74" s="312"/>
      <c r="F74" s="312"/>
      <c r="G74" s="312"/>
      <c r="H74" s="312"/>
      <c r="I74" s="332" t="s">
        <v>14</v>
      </c>
      <c r="J74" s="332" t="s">
        <v>14</v>
      </c>
    </row>
    <row r="75" spans="2:15">
      <c r="C75" s="2" t="s">
        <v>360</v>
      </c>
      <c r="D75" s="2"/>
      <c r="E75" s="2"/>
      <c r="F75" s="312"/>
      <c r="G75" s="312"/>
      <c r="H75" s="312"/>
      <c r="I75" s="332" t="s">
        <v>14</v>
      </c>
      <c r="J75" s="332" t="s">
        <v>14</v>
      </c>
    </row>
    <row r="76" spans="2:15">
      <c r="C76" s="2" t="s">
        <v>361</v>
      </c>
      <c r="D76" s="2"/>
      <c r="E76" s="2"/>
      <c r="F76" s="312"/>
      <c r="G76" s="312"/>
      <c r="H76" s="312"/>
      <c r="I76" s="332" t="s">
        <v>14</v>
      </c>
      <c r="J76" s="332" t="s">
        <v>14</v>
      </c>
    </row>
    <row r="77" spans="2:15">
      <c r="C77" s="2" t="s">
        <v>362</v>
      </c>
      <c r="D77" s="2"/>
      <c r="E77" s="2"/>
      <c r="F77" s="312"/>
      <c r="G77" s="312"/>
      <c r="H77" s="312"/>
      <c r="I77" s="534"/>
      <c r="J77" s="534"/>
    </row>
    <row r="78" spans="2:15">
      <c r="C78" s="312" t="s">
        <v>363</v>
      </c>
      <c r="D78" s="312"/>
      <c r="E78" s="312"/>
      <c r="F78" s="312"/>
      <c r="G78" s="312"/>
      <c r="H78" s="312"/>
      <c r="I78" s="332" t="s">
        <v>14</v>
      </c>
      <c r="J78" s="332" t="s">
        <v>14</v>
      </c>
    </row>
    <row r="79" spans="2:15">
      <c r="C79" s="312" t="s">
        <v>364</v>
      </c>
      <c r="D79" s="312"/>
      <c r="E79" s="312"/>
      <c r="F79" s="312"/>
      <c r="G79" s="312"/>
      <c r="H79" s="312"/>
      <c r="I79" s="332" t="s">
        <v>14</v>
      </c>
      <c r="J79" s="332" t="s">
        <v>14</v>
      </c>
    </row>
    <row r="80" spans="2:15">
      <c r="C80" s="312" t="s">
        <v>365</v>
      </c>
      <c r="D80" s="312"/>
      <c r="E80" s="312"/>
      <c r="F80" s="312"/>
      <c r="G80" s="312"/>
      <c r="H80" s="312"/>
      <c r="I80" s="332" t="s">
        <v>14</v>
      </c>
      <c r="J80" s="332" t="s">
        <v>14</v>
      </c>
    </row>
    <row r="81" spans="2:10">
      <c r="C81" s="315" t="s">
        <v>366</v>
      </c>
      <c r="D81" s="315"/>
      <c r="E81" s="315"/>
      <c r="F81" s="314"/>
      <c r="G81" s="314"/>
      <c r="H81" s="314"/>
      <c r="I81" s="332" t="s">
        <v>14</v>
      </c>
      <c r="J81" s="332" t="s">
        <v>14</v>
      </c>
    </row>
    <row r="82" spans="2:10">
      <c r="C82" s="2" t="s">
        <v>367</v>
      </c>
      <c r="D82" s="2"/>
      <c r="E82" s="2"/>
      <c r="F82" s="312"/>
      <c r="G82" s="312"/>
      <c r="H82" s="312"/>
      <c r="I82" s="534"/>
      <c r="J82" s="534"/>
    </row>
    <row r="83" spans="2:10">
      <c r="C83" s="312" t="s">
        <v>368</v>
      </c>
      <c r="D83" s="312"/>
      <c r="E83" s="312"/>
      <c r="F83" s="312"/>
      <c r="G83" s="312"/>
      <c r="H83" s="312"/>
      <c r="I83" s="332" t="s">
        <v>14</v>
      </c>
      <c r="J83" s="332" t="s">
        <v>14</v>
      </c>
    </row>
    <row r="84" spans="2:10">
      <c r="C84" s="312" t="s">
        <v>369</v>
      </c>
      <c r="D84" s="312"/>
      <c r="E84" s="312"/>
      <c r="F84" s="312"/>
      <c r="G84" s="312"/>
      <c r="H84" s="312"/>
      <c r="I84" s="332" t="s">
        <v>14</v>
      </c>
      <c r="J84" s="332" t="s">
        <v>14</v>
      </c>
    </row>
    <row r="85" spans="2:10">
      <c r="C85" s="312" t="s">
        <v>370</v>
      </c>
      <c r="D85" s="312"/>
      <c r="E85" s="312"/>
      <c r="F85" s="312"/>
      <c r="G85" s="312"/>
      <c r="H85" s="312"/>
      <c r="I85" s="332" t="s">
        <v>14</v>
      </c>
      <c r="J85" s="332" t="s">
        <v>14</v>
      </c>
    </row>
    <row r="86" spans="2:10">
      <c r="C86" s="2" t="s">
        <v>371</v>
      </c>
      <c r="D86" s="2"/>
      <c r="E86" s="2"/>
      <c r="F86" s="312"/>
      <c r="G86" s="312"/>
      <c r="H86" s="312"/>
      <c r="I86" s="332" t="s">
        <v>14</v>
      </c>
      <c r="J86" s="332" t="s">
        <v>14</v>
      </c>
    </row>
    <row r="87" spans="2:10">
      <c r="C87" s="2" t="s">
        <v>372</v>
      </c>
      <c r="D87" s="2"/>
      <c r="E87" s="2"/>
      <c r="F87" s="312"/>
      <c r="G87" s="312"/>
      <c r="H87" s="312"/>
      <c r="I87" s="332" t="s">
        <v>14</v>
      </c>
      <c r="J87" s="332" t="s">
        <v>14</v>
      </c>
    </row>
    <row r="88" spans="2:10">
      <c r="C88" s="2" t="s">
        <v>373</v>
      </c>
      <c r="D88" s="2"/>
      <c r="E88" s="2"/>
      <c r="F88" s="312"/>
      <c r="G88" s="312"/>
      <c r="H88" s="312"/>
      <c r="I88" s="332" t="s">
        <v>14</v>
      </c>
      <c r="J88" s="332" t="s">
        <v>14</v>
      </c>
    </row>
    <row r="89" spans="2:10">
      <c r="C89" s="2" t="s">
        <v>374</v>
      </c>
      <c r="D89" s="2"/>
      <c r="E89" s="2"/>
      <c r="F89" s="312"/>
      <c r="G89" s="312"/>
      <c r="H89" s="312"/>
      <c r="I89" s="332" t="s">
        <v>14</v>
      </c>
      <c r="J89" s="332" t="s">
        <v>14</v>
      </c>
    </row>
    <row r="90" spans="2:10">
      <c r="C90" s="2" t="s">
        <v>375</v>
      </c>
      <c r="D90" s="2"/>
      <c r="E90" s="2"/>
      <c r="F90" s="312"/>
      <c r="G90" s="312"/>
      <c r="H90" s="312"/>
      <c r="I90" s="332" t="s">
        <v>14</v>
      </c>
      <c r="J90" s="332" t="s">
        <v>14</v>
      </c>
    </row>
    <row r="91" spans="2:10">
      <c r="C91" s="2" t="s">
        <v>376</v>
      </c>
      <c r="D91" s="2"/>
      <c r="E91" s="2"/>
      <c r="F91" s="312"/>
      <c r="G91" s="312"/>
      <c r="H91" s="312"/>
      <c r="I91" s="332" t="s">
        <v>14</v>
      </c>
      <c r="J91" s="332" t="s">
        <v>14</v>
      </c>
    </row>
    <row r="92" spans="2:10">
      <c r="C92" s="308" t="s">
        <v>377</v>
      </c>
      <c r="D92" s="308"/>
      <c r="E92" s="308"/>
      <c r="F92" s="312"/>
      <c r="G92" s="312"/>
      <c r="H92" s="312"/>
      <c r="I92" s="364" t="s">
        <v>14</v>
      </c>
      <c r="J92" s="364" t="s">
        <v>14</v>
      </c>
    </row>
    <row r="93" spans="2:10">
      <c r="C93" s="2"/>
      <c r="D93" s="2"/>
      <c r="E93" s="2"/>
      <c r="F93" s="312"/>
      <c r="G93" s="312"/>
      <c r="H93" s="312"/>
      <c r="I93" s="331"/>
      <c r="J93" s="331"/>
    </row>
    <row r="94" spans="2:10">
      <c r="B94" s="309" t="s">
        <v>378</v>
      </c>
      <c r="C94" s="308"/>
      <c r="D94" s="308"/>
      <c r="E94" s="308"/>
      <c r="F94" s="313"/>
      <c r="G94" s="313"/>
      <c r="H94" s="313"/>
      <c r="I94" s="364" t="s">
        <v>14</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14</v>
      </c>
      <c r="J99" s="332" t="s">
        <v>14</v>
      </c>
    </row>
    <row r="100" spans="2:10">
      <c r="C100" s="2" t="s">
        <v>381</v>
      </c>
      <c r="D100" s="2"/>
      <c r="E100" s="2"/>
      <c r="F100" s="312"/>
      <c r="G100" s="312"/>
      <c r="H100" s="312"/>
      <c r="I100" s="332" t="s">
        <v>14</v>
      </c>
      <c r="J100" s="332" t="s">
        <v>14</v>
      </c>
    </row>
    <row r="101" spans="2:10">
      <c r="C101" s="2" t="s">
        <v>382</v>
      </c>
      <c r="D101" s="2"/>
      <c r="E101" s="2"/>
      <c r="F101" s="312"/>
      <c r="G101" s="312"/>
      <c r="H101" s="312"/>
      <c r="I101" s="332" t="s">
        <v>14</v>
      </c>
      <c r="J101" s="332" t="s">
        <v>14</v>
      </c>
    </row>
    <row r="102" spans="2:10">
      <c r="C102" s="308" t="s">
        <v>534</v>
      </c>
      <c r="D102" s="2"/>
      <c r="E102" s="2"/>
      <c r="F102" s="312"/>
      <c r="G102" s="312"/>
      <c r="H102" s="312"/>
      <c r="I102" s="364" t="s">
        <v>14</v>
      </c>
      <c r="J102" s="364" t="s">
        <v>14</v>
      </c>
    </row>
    <row r="103" spans="2:10">
      <c r="C103" s="2" t="s">
        <v>524</v>
      </c>
      <c r="D103" s="2"/>
      <c r="E103" s="2"/>
      <c r="F103" s="312"/>
      <c r="G103" s="312"/>
      <c r="H103" s="312"/>
      <c r="I103" s="332" t="s">
        <v>14</v>
      </c>
      <c r="J103" s="332" t="s">
        <v>14</v>
      </c>
    </row>
    <row r="104" spans="2:10">
      <c r="C104" s="2" t="s">
        <v>383</v>
      </c>
      <c r="D104" s="2"/>
      <c r="E104" s="2"/>
      <c r="F104" s="312"/>
      <c r="G104" s="312"/>
      <c r="H104" s="312"/>
      <c r="I104" s="332" t="s">
        <v>14</v>
      </c>
      <c r="J104" s="332" t="s">
        <v>14</v>
      </c>
    </row>
    <row r="105" spans="2:10">
      <c r="C105" s="2" t="s">
        <v>384</v>
      </c>
      <c r="D105" s="2"/>
      <c r="E105" s="2"/>
      <c r="F105" s="312"/>
      <c r="G105" s="312"/>
      <c r="H105" s="312"/>
      <c r="I105" s="332" t="s">
        <v>14</v>
      </c>
      <c r="J105" s="332" t="s">
        <v>14</v>
      </c>
    </row>
    <row r="106" spans="2:10">
      <c r="C106" s="2" t="s">
        <v>544</v>
      </c>
      <c r="D106" s="2"/>
      <c r="E106" s="2"/>
      <c r="F106" s="312"/>
      <c r="G106" s="312"/>
      <c r="H106" s="312"/>
      <c r="I106" s="332" t="s">
        <v>14</v>
      </c>
      <c r="J106" s="332" t="s">
        <v>14</v>
      </c>
    </row>
    <row r="107" spans="2:10">
      <c r="C107" s="2" t="s">
        <v>385</v>
      </c>
      <c r="D107" s="2"/>
      <c r="E107" s="2"/>
      <c r="F107" s="312"/>
      <c r="G107" s="312"/>
      <c r="H107" s="312"/>
      <c r="I107" s="332" t="s">
        <v>14</v>
      </c>
      <c r="J107" s="332" t="s">
        <v>14</v>
      </c>
    </row>
    <row r="108" spans="2:10">
      <c r="C108" s="2" t="s">
        <v>386</v>
      </c>
      <c r="D108" s="2"/>
      <c r="E108" s="2"/>
      <c r="F108" s="312"/>
      <c r="G108" s="312"/>
      <c r="H108" s="312"/>
      <c r="I108" s="332" t="s">
        <v>14</v>
      </c>
      <c r="J108" s="332" t="s">
        <v>14</v>
      </c>
    </row>
    <row r="109" spans="2:10">
      <c r="C109" s="2" t="s">
        <v>523</v>
      </c>
      <c r="D109" s="2"/>
      <c r="E109" s="2"/>
      <c r="F109" s="312"/>
      <c r="G109" s="312"/>
      <c r="H109" s="312"/>
      <c r="I109" s="332" t="s">
        <v>14</v>
      </c>
      <c r="J109" s="332" t="s">
        <v>14</v>
      </c>
    </row>
    <row r="110" spans="2:10">
      <c r="C110" s="308" t="s">
        <v>526</v>
      </c>
      <c r="D110" s="2"/>
      <c r="E110" s="2"/>
      <c r="F110" s="312"/>
      <c r="G110" s="312"/>
      <c r="H110" s="312"/>
      <c r="I110" s="364" t="s">
        <v>14</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t="s">
        <v>14</v>
      </c>
      <c r="J115" s="332" t="s">
        <v>14</v>
      </c>
    </row>
    <row r="116" spans="3:10">
      <c r="C116" s="315" t="s">
        <v>342</v>
      </c>
      <c r="D116" s="315"/>
      <c r="E116" s="315"/>
      <c r="F116" s="315"/>
      <c r="G116" s="315"/>
      <c r="H116" s="315"/>
      <c r="I116" s="332" t="s">
        <v>14</v>
      </c>
      <c r="J116" s="332" t="s">
        <v>14</v>
      </c>
    </row>
    <row r="117" spans="3:10">
      <c r="C117" s="315" t="s">
        <v>390</v>
      </c>
      <c r="D117" s="315"/>
      <c r="E117" s="315"/>
      <c r="F117" s="315"/>
      <c r="G117" s="315"/>
      <c r="H117" s="315"/>
      <c r="I117" s="332" t="s">
        <v>14</v>
      </c>
      <c r="J117" s="332" t="s">
        <v>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t="s">
        <v>14</v>
      </c>
      <c r="J120" s="332" t="s">
        <v>14</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534"/>
      <c r="J123" s="534"/>
    </row>
    <row r="124" spans="3:10">
      <c r="C124" s="315" t="s">
        <v>392</v>
      </c>
      <c r="D124" s="315"/>
      <c r="E124" s="315"/>
      <c r="F124" s="315"/>
      <c r="G124" s="315"/>
      <c r="H124" s="315"/>
      <c r="I124" s="332" t="s">
        <v>14</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534"/>
      <c r="J128" s="534"/>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t="s">
        <v>14</v>
      </c>
      <c r="J134" s="332" t="s">
        <v>14</v>
      </c>
    </row>
    <row r="135" spans="2:10">
      <c r="C135" s="2" t="s">
        <v>398</v>
      </c>
      <c r="D135" s="2"/>
      <c r="E135" s="2"/>
      <c r="F135" s="312"/>
      <c r="G135" s="312"/>
      <c r="H135" s="312"/>
      <c r="I135" s="332" t="s">
        <v>14</v>
      </c>
      <c r="J135" s="332" t="s">
        <v>14</v>
      </c>
    </row>
    <row r="136" spans="2:10">
      <c r="C136" s="2" t="s">
        <v>399</v>
      </c>
      <c r="D136" s="2"/>
      <c r="E136" s="2"/>
      <c r="F136" s="312"/>
      <c r="G136" s="312"/>
      <c r="H136" s="312"/>
      <c r="I136" s="332" t="s">
        <v>14</v>
      </c>
      <c r="J136" s="332" t="s">
        <v>14</v>
      </c>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332" t="s">
        <v>14</v>
      </c>
      <c r="J139" s="332" t="s">
        <v>14</v>
      </c>
    </row>
    <row r="140" spans="2:10">
      <c r="C140" s="2" t="s">
        <v>402</v>
      </c>
      <c r="D140" s="2"/>
      <c r="E140" s="2"/>
      <c r="F140" s="312"/>
      <c r="G140" s="312"/>
      <c r="H140" s="312"/>
      <c r="I140" s="332" t="s">
        <v>14</v>
      </c>
      <c r="J140" s="332" t="s">
        <v>14</v>
      </c>
    </row>
    <row r="141" spans="2:10">
      <c r="C141" s="312" t="s">
        <v>403</v>
      </c>
      <c r="D141" s="312"/>
      <c r="E141" s="312"/>
      <c r="F141" s="312"/>
      <c r="G141" s="312"/>
      <c r="H141" s="312"/>
      <c r="I141" s="332" t="s">
        <v>14</v>
      </c>
      <c r="J141" s="332" t="s">
        <v>14</v>
      </c>
    </row>
    <row r="142" spans="2:10">
      <c r="C142" s="312" t="s">
        <v>404</v>
      </c>
      <c r="D142" s="312"/>
      <c r="E142" s="312"/>
      <c r="F142" s="312"/>
      <c r="G142" s="312"/>
      <c r="H142" s="312"/>
      <c r="I142" s="332" t="s">
        <v>14</v>
      </c>
      <c r="J142" s="332" t="s">
        <v>14</v>
      </c>
    </row>
    <row r="143" spans="2:10">
      <c r="C143" s="312" t="s">
        <v>405</v>
      </c>
      <c r="D143" s="312"/>
      <c r="E143" s="312"/>
      <c r="F143" s="312"/>
      <c r="G143" s="312"/>
      <c r="H143" s="312"/>
      <c r="I143" s="332" t="s">
        <v>14</v>
      </c>
      <c r="J143" s="332" t="s">
        <v>14</v>
      </c>
    </row>
    <row r="144" spans="2:10">
      <c r="C144" s="2" t="s">
        <v>406</v>
      </c>
      <c r="D144" s="2"/>
      <c r="E144" s="2"/>
      <c r="F144" s="312"/>
      <c r="G144" s="312"/>
      <c r="H144" s="312"/>
      <c r="I144" s="332" t="s">
        <v>14</v>
      </c>
      <c r="J144" s="332" t="s">
        <v>14</v>
      </c>
    </row>
    <row r="145" spans="3:10">
      <c r="C145" s="2" t="s">
        <v>407</v>
      </c>
      <c r="D145" s="2"/>
      <c r="E145" s="2"/>
      <c r="F145" s="312"/>
      <c r="G145" s="312"/>
      <c r="H145" s="312"/>
      <c r="I145" s="332" t="s">
        <v>14</v>
      </c>
      <c r="J145" s="332" t="s">
        <v>14</v>
      </c>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2" t="s">
        <v>14</v>
      </c>
      <c r="J148" s="332" t="s">
        <v>14</v>
      </c>
    </row>
    <row r="149" spans="3:10">
      <c r="C149" s="312" t="s">
        <v>411</v>
      </c>
      <c r="D149" s="312"/>
      <c r="E149" s="312"/>
      <c r="F149" s="312"/>
      <c r="G149" s="312"/>
      <c r="H149" s="312"/>
      <c r="I149" s="332" t="s">
        <v>14</v>
      </c>
      <c r="J149" s="332" t="s">
        <v>14</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2" t="s">
        <v>14</v>
      </c>
      <c r="J154" s="332" t="s">
        <v>14</v>
      </c>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2" t="s">
        <v>14</v>
      </c>
      <c r="J156" s="332" t="s">
        <v>14</v>
      </c>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2" t="s">
        <v>14</v>
      </c>
      <c r="J162" s="332" t="s">
        <v>14</v>
      </c>
    </row>
    <row r="163" spans="3:10">
      <c r="C163" s="312" t="s">
        <v>425</v>
      </c>
      <c r="D163" s="312"/>
      <c r="E163" s="312"/>
      <c r="F163" s="312"/>
      <c r="G163" s="312"/>
      <c r="H163" s="312"/>
      <c r="I163" s="332" t="s">
        <v>14</v>
      </c>
      <c r="J163" s="332" t="s">
        <v>14</v>
      </c>
    </row>
    <row r="164" spans="3:10">
      <c r="C164" s="312" t="s">
        <v>426</v>
      </c>
      <c r="D164" s="312"/>
      <c r="E164" s="312"/>
      <c r="F164" s="312"/>
      <c r="G164" s="312"/>
      <c r="H164" s="312"/>
      <c r="I164" s="332" t="s">
        <v>14</v>
      </c>
      <c r="J164" s="332" t="s">
        <v>14</v>
      </c>
    </row>
    <row r="165" spans="3:10">
      <c r="C165" s="315" t="s">
        <v>427</v>
      </c>
      <c r="D165" s="315"/>
      <c r="E165" s="315"/>
      <c r="F165" s="315"/>
      <c r="G165" s="315"/>
      <c r="H165" s="315"/>
      <c r="I165" s="332" t="s">
        <v>14</v>
      </c>
      <c r="J165" s="332" t="s">
        <v>14</v>
      </c>
    </row>
    <row r="166" spans="3:10">
      <c r="C166" s="315" t="s">
        <v>428</v>
      </c>
      <c r="D166" s="315"/>
      <c r="E166" s="315"/>
      <c r="F166" s="315"/>
      <c r="G166" s="315"/>
      <c r="H166" s="315"/>
      <c r="I166" s="332" t="s">
        <v>14</v>
      </c>
      <c r="J166" s="332" t="s">
        <v>14</v>
      </c>
    </row>
    <row r="167" spans="3:10">
      <c r="C167" s="312" t="s">
        <v>429</v>
      </c>
      <c r="D167" s="312"/>
      <c r="E167" s="312"/>
      <c r="F167" s="312"/>
      <c r="G167" s="312"/>
      <c r="H167" s="312"/>
      <c r="I167" s="332" t="s">
        <v>14</v>
      </c>
      <c r="J167" s="332" t="s">
        <v>14</v>
      </c>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2" t="s">
        <v>14</v>
      </c>
      <c r="J170" s="332" t="s">
        <v>14</v>
      </c>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2" t="s">
        <v>14</v>
      </c>
      <c r="J173" s="332" t="s">
        <v>14</v>
      </c>
    </row>
    <row r="174" spans="3:10">
      <c r="C174" s="315" t="s">
        <v>432</v>
      </c>
      <c r="D174" s="315"/>
      <c r="E174" s="315"/>
      <c r="F174" s="315"/>
      <c r="G174" s="315"/>
      <c r="H174" s="315"/>
      <c r="I174" s="332" t="s">
        <v>14</v>
      </c>
      <c r="J174" s="332" t="s">
        <v>14</v>
      </c>
    </row>
    <row r="175" spans="3:10">
      <c r="C175" s="315" t="s">
        <v>433</v>
      </c>
      <c r="D175" s="315"/>
      <c r="E175" s="315"/>
      <c r="F175" s="315"/>
      <c r="G175" s="315"/>
      <c r="H175" s="315"/>
      <c r="I175" s="332" t="s">
        <v>14</v>
      </c>
      <c r="J175" s="332" t="s">
        <v>14</v>
      </c>
    </row>
    <row r="176" spans="3:10">
      <c r="C176" s="315" t="s">
        <v>434</v>
      </c>
      <c r="D176" s="315"/>
      <c r="E176" s="315"/>
      <c r="F176" s="315"/>
      <c r="G176" s="315"/>
      <c r="H176" s="315"/>
      <c r="I176" s="332" t="s">
        <v>14</v>
      </c>
      <c r="J176" s="332" t="s">
        <v>14</v>
      </c>
    </row>
    <row r="177" spans="3:10">
      <c r="C177" s="315" t="s">
        <v>435</v>
      </c>
      <c r="D177" s="315"/>
      <c r="E177" s="315"/>
      <c r="F177" s="315"/>
      <c r="G177" s="315"/>
      <c r="H177" s="315"/>
      <c r="I177" s="332" t="s">
        <v>14</v>
      </c>
      <c r="J177" s="332" t="s">
        <v>14</v>
      </c>
    </row>
    <row r="178" spans="3:10">
      <c r="C178" s="310" t="s">
        <v>422</v>
      </c>
      <c r="D178" s="310"/>
      <c r="E178" s="310"/>
      <c r="F178" s="312"/>
      <c r="G178" s="312"/>
      <c r="H178" s="312"/>
      <c r="I178" s="332" t="s">
        <v>14</v>
      </c>
      <c r="J178" s="332" t="s">
        <v>14</v>
      </c>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2" t="s">
        <v>14</v>
      </c>
      <c r="J187" s="332" t="s">
        <v>14</v>
      </c>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2" t="s">
        <v>14</v>
      </c>
      <c r="J193" s="332" t="s">
        <v>14</v>
      </c>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2" t="s">
        <v>14</v>
      </c>
      <c r="J210" s="332" t="s">
        <v>14</v>
      </c>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v>40420</v>
      </c>
      <c r="J225" s="364">
        <v>40420</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332" t="s">
        <v>14</v>
      </c>
    </row>
    <row r="231" spans="2:10">
      <c r="C231" s="312" t="s">
        <v>477</v>
      </c>
      <c r="D231" s="312"/>
      <c r="E231" s="312"/>
      <c r="F231" s="312"/>
      <c r="G231" s="312"/>
      <c r="H231" s="312"/>
      <c r="I231" s="332" t="s">
        <v>14</v>
      </c>
      <c r="J231" s="332" t="s">
        <v>14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v>40420</v>
      </c>
      <c r="J235" s="364">
        <v>40420</v>
      </c>
    </row>
    <row r="236" spans="2:10">
      <c r="C236" s="308" t="s">
        <v>480</v>
      </c>
      <c r="D236" s="2"/>
      <c r="E236" s="2"/>
      <c r="F236" s="312"/>
      <c r="G236" s="312"/>
      <c r="H236" s="312"/>
      <c r="I236" s="332" t="s">
        <v>14</v>
      </c>
      <c r="J236" s="332" t="s">
        <v>14</v>
      </c>
    </row>
    <row r="237" spans="2:10">
      <c r="C237" s="2" t="s">
        <v>481</v>
      </c>
      <c r="D237" s="2"/>
      <c r="E237" s="2"/>
      <c r="F237" s="312"/>
      <c r="G237" s="312"/>
      <c r="H237" s="312"/>
      <c r="I237" s="364" t="s">
        <v>14</v>
      </c>
      <c r="J237" s="364" t="s">
        <v>14</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14</v>
      </c>
      <c r="J253" s="332" t="s">
        <v>14</v>
      </c>
    </row>
    <row r="254" spans="2:10">
      <c r="C254" s="308" t="s">
        <v>539</v>
      </c>
      <c r="D254" s="2"/>
      <c r="E254" s="2"/>
      <c r="F254" s="312"/>
      <c r="G254" s="312"/>
      <c r="H254" s="312"/>
      <c r="I254" s="364" t="s">
        <v>14</v>
      </c>
      <c r="J254" s="364" t="s">
        <v>14</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14</v>
      </c>
      <c r="J267" s="332" t="s">
        <v>14</v>
      </c>
    </row>
    <row r="268" spans="2:10">
      <c r="C268" s="312" t="s">
        <v>495</v>
      </c>
      <c r="D268" s="312"/>
      <c r="E268" s="312"/>
      <c r="F268" s="312"/>
      <c r="G268" s="312"/>
      <c r="H268" s="312"/>
      <c r="I268" s="332" t="s">
        <v>14</v>
      </c>
      <c r="J268" s="332" t="s">
        <v>14</v>
      </c>
    </row>
    <row r="269" spans="2:10">
      <c r="C269" s="312" t="s">
        <v>496</v>
      </c>
      <c r="D269" s="312"/>
      <c r="E269" s="312"/>
      <c r="F269" s="312"/>
      <c r="G269" s="312"/>
      <c r="H269" s="312"/>
      <c r="I269" s="332" t="s">
        <v>14</v>
      </c>
      <c r="J269" s="332" t="s">
        <v>14</v>
      </c>
    </row>
    <row r="270" spans="2:10">
      <c r="C270" s="312" t="s">
        <v>497</v>
      </c>
      <c r="D270" s="312"/>
      <c r="E270" s="312"/>
      <c r="F270" s="312"/>
      <c r="G270" s="312"/>
      <c r="H270" s="312"/>
      <c r="I270" s="332" t="s">
        <v>14</v>
      </c>
      <c r="J270" s="332" t="s">
        <v>14</v>
      </c>
    </row>
    <row r="271" spans="2:10">
      <c r="C271" s="312" t="s">
        <v>498</v>
      </c>
      <c r="D271" s="312"/>
      <c r="E271" s="312"/>
      <c r="F271" s="312"/>
      <c r="G271" s="312"/>
      <c r="H271" s="312"/>
      <c r="I271" s="332" t="s">
        <v>14</v>
      </c>
      <c r="J271" s="332" t="s">
        <v>14</v>
      </c>
    </row>
    <row r="272" spans="2:10">
      <c r="C272" s="312" t="s">
        <v>499</v>
      </c>
      <c r="D272" s="312"/>
      <c r="E272" s="312"/>
      <c r="F272" s="312"/>
      <c r="G272" s="312"/>
      <c r="H272" s="312"/>
      <c r="I272" s="332" t="s">
        <v>14</v>
      </c>
      <c r="J272" s="332" t="s">
        <v>14</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I291" s="2"/>
      <c r="J291" s="7"/>
      <c r="K291" s="2"/>
      <c r="L291" s="2"/>
      <c r="M291" s="301"/>
      <c r="N291" s="2"/>
      <c r="O291" s="301"/>
    </row>
  </sheetData>
  <sheetProtection selectLockedCells="1"/>
  <mergeCells count="109">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39:D39"/>
    <mergeCell ref="H39:M39"/>
    <mergeCell ref="C40:D40"/>
    <mergeCell ref="H40:M40"/>
    <mergeCell ref="C41:D41"/>
    <mergeCell ref="H41:M41"/>
    <mergeCell ref="C24:D24"/>
    <mergeCell ref="F24:G24"/>
    <mergeCell ref="K24:M24"/>
    <mergeCell ref="C27:M34"/>
    <mergeCell ref="H37:M37"/>
    <mergeCell ref="C38:D38"/>
    <mergeCell ref="H38:M38"/>
    <mergeCell ref="C45:D45"/>
    <mergeCell ref="H45:M45"/>
    <mergeCell ref="C46:D46"/>
    <mergeCell ref="H46:M46"/>
    <mergeCell ref="C47:D47"/>
    <mergeCell ref="H47:M47"/>
    <mergeCell ref="C42:D42"/>
    <mergeCell ref="H42:M42"/>
    <mergeCell ref="C43:D43"/>
    <mergeCell ref="H43:M43"/>
    <mergeCell ref="C44:D44"/>
    <mergeCell ref="H44:M44"/>
    <mergeCell ref="C51:D51"/>
    <mergeCell ref="H51:M51"/>
    <mergeCell ref="C52:D52"/>
    <mergeCell ref="H52:M52"/>
    <mergeCell ref="C53:D53"/>
    <mergeCell ref="H53:M53"/>
    <mergeCell ref="C48:D48"/>
    <mergeCell ref="H48:M48"/>
    <mergeCell ref="C49:D49"/>
    <mergeCell ref="H49:M49"/>
    <mergeCell ref="C50:D50"/>
    <mergeCell ref="H50:M50"/>
    <mergeCell ref="I65:J65"/>
    <mergeCell ref="C57:D57"/>
    <mergeCell ref="H57:M57"/>
    <mergeCell ref="C58:D58"/>
    <mergeCell ref="H58:M58"/>
    <mergeCell ref="I63:J63"/>
    <mergeCell ref="I64:J64"/>
    <mergeCell ref="C54:D54"/>
    <mergeCell ref="H54:M54"/>
    <mergeCell ref="C55:D55"/>
    <mergeCell ref="H55:M55"/>
    <mergeCell ref="C56:D56"/>
    <mergeCell ref="H56:M56"/>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K101"/>
  <sheetViews>
    <sheetView topLeftCell="A52" workbookViewId="0">
      <selection activeCell="M62" sqref="M62"/>
    </sheetView>
  </sheetViews>
  <sheetFormatPr baseColWidth="10" defaultColWidth="9.1640625" defaultRowHeight="15"/>
  <cols>
    <col min="1" max="1" width="5" style="2" customWidth="1"/>
    <col min="2" max="2" width="8.1640625" style="2" customWidth="1"/>
    <col min="3" max="3" width="7.5" style="2" customWidth="1"/>
    <col min="4" max="4" width="11" style="584" customWidth="1"/>
    <col min="5" max="5" width="9.1640625" style="585"/>
    <col min="6" max="6" width="10.5" style="584" customWidth="1"/>
    <col min="7" max="16384" width="9.1640625" style="2"/>
  </cols>
  <sheetData>
    <row r="1" spans="1:11">
      <c r="A1" s="575" t="s">
        <v>671</v>
      </c>
      <c r="D1" s="576" t="s">
        <v>629</v>
      </c>
      <c r="E1" s="577" t="s">
        <v>630</v>
      </c>
      <c r="F1" s="576" t="s">
        <v>631</v>
      </c>
    </row>
    <row r="2" spans="1:11">
      <c r="A2" s="578" t="s">
        <v>632</v>
      </c>
      <c r="B2" s="578"/>
      <c r="C2" s="578"/>
      <c r="D2" s="579">
        <v>750000</v>
      </c>
      <c r="E2" s="580">
        <v>0.15</v>
      </c>
      <c r="F2" s="579">
        <f>D2*(1-E2)</f>
        <v>637500</v>
      </c>
    </row>
    <row r="3" spans="1:11" s="7" customFormat="1">
      <c r="A3" s="581"/>
      <c r="B3" s="581" t="s">
        <v>672</v>
      </c>
      <c r="C3" s="581"/>
      <c r="D3" s="582"/>
      <c r="E3" s="583"/>
      <c r="F3" s="582"/>
    </row>
    <row r="4" spans="1:11">
      <c r="B4" s="591" t="s">
        <v>673</v>
      </c>
    </row>
    <row r="5" spans="1:11">
      <c r="B5" s="588" t="s">
        <v>636</v>
      </c>
      <c r="C5" s="839" t="s">
        <v>674</v>
      </c>
      <c r="D5" s="839"/>
      <c r="E5" s="839"/>
      <c r="F5" s="839"/>
      <c r="G5" s="839"/>
      <c r="H5" s="839"/>
      <c r="I5" s="839"/>
      <c r="J5" s="839"/>
      <c r="K5" s="839"/>
    </row>
    <row r="6" spans="1:11">
      <c r="B6" s="588" t="s">
        <v>638</v>
      </c>
      <c r="C6" s="839" t="s">
        <v>675</v>
      </c>
      <c r="D6" s="839"/>
      <c r="E6" s="839"/>
      <c r="F6" s="839"/>
      <c r="G6" s="839"/>
      <c r="H6" s="839"/>
      <c r="I6" s="839"/>
      <c r="J6" s="839"/>
      <c r="K6" s="839"/>
    </row>
    <row r="7" spans="1:11">
      <c r="B7" s="588" t="s">
        <v>640</v>
      </c>
      <c r="C7" s="839" t="s">
        <v>676</v>
      </c>
      <c r="D7" s="839"/>
      <c r="E7" s="839"/>
      <c r="F7" s="839"/>
      <c r="G7" s="839"/>
      <c r="H7" s="839"/>
      <c r="I7" s="839"/>
      <c r="J7" s="839"/>
      <c r="K7" s="839"/>
    </row>
    <row r="8" spans="1:11" ht="30" customHeight="1">
      <c r="B8" s="588" t="s">
        <v>642</v>
      </c>
      <c r="C8" s="839" t="s">
        <v>677</v>
      </c>
      <c r="D8" s="839"/>
      <c r="E8" s="839"/>
      <c r="F8" s="839"/>
      <c r="G8" s="839"/>
      <c r="H8" s="839"/>
      <c r="I8" s="839"/>
      <c r="J8" s="839"/>
      <c r="K8" s="839"/>
    </row>
    <row r="9" spans="1:11" ht="30" customHeight="1">
      <c r="B9" s="588" t="s">
        <v>644</v>
      </c>
      <c r="C9" s="839" t="s">
        <v>678</v>
      </c>
      <c r="D9" s="839"/>
      <c r="E9" s="839"/>
      <c r="F9" s="839"/>
      <c r="G9" s="839"/>
      <c r="H9" s="839"/>
      <c r="I9" s="839"/>
      <c r="J9" s="839"/>
      <c r="K9" s="839"/>
    </row>
    <row r="10" spans="1:11">
      <c r="B10" s="588" t="s">
        <v>646</v>
      </c>
      <c r="C10" s="839" t="s">
        <v>679</v>
      </c>
      <c r="D10" s="839"/>
      <c r="E10" s="839"/>
      <c r="F10" s="839"/>
      <c r="G10" s="839"/>
      <c r="H10" s="839"/>
      <c r="I10" s="839"/>
      <c r="J10" s="839"/>
      <c r="K10" s="839"/>
    </row>
    <row r="11" spans="1:11">
      <c r="B11" s="588" t="s">
        <v>648</v>
      </c>
      <c r="C11" s="839" t="s">
        <v>680</v>
      </c>
      <c r="D11" s="839"/>
      <c r="E11" s="839"/>
      <c r="F11" s="839"/>
      <c r="G11" s="839"/>
      <c r="H11" s="839"/>
      <c r="I11" s="839"/>
      <c r="J11" s="839"/>
      <c r="K11" s="839"/>
    </row>
    <row r="12" spans="1:11" ht="31.5" customHeight="1">
      <c r="B12" s="588" t="s">
        <v>650</v>
      </c>
      <c r="C12" s="839" t="s">
        <v>681</v>
      </c>
      <c r="D12" s="839"/>
      <c r="E12" s="839"/>
      <c r="F12" s="839"/>
      <c r="G12" s="839"/>
      <c r="H12" s="839"/>
      <c r="I12" s="839"/>
      <c r="J12" s="839"/>
      <c r="K12" s="839"/>
    </row>
    <row r="13" spans="1:11">
      <c r="B13" s="588" t="s">
        <v>652</v>
      </c>
      <c r="C13" s="839" t="s">
        <v>682</v>
      </c>
      <c r="D13" s="839"/>
      <c r="E13" s="839"/>
      <c r="F13" s="839"/>
      <c r="G13" s="839"/>
      <c r="H13" s="839"/>
      <c r="I13" s="839"/>
      <c r="J13" s="839"/>
      <c r="K13" s="839"/>
    </row>
    <row r="14" spans="1:11" ht="59.25" customHeight="1">
      <c r="B14" s="588" t="s">
        <v>654</v>
      </c>
      <c r="C14" s="839" t="s">
        <v>683</v>
      </c>
      <c r="D14" s="839"/>
      <c r="E14" s="839"/>
      <c r="F14" s="839"/>
      <c r="G14" s="839"/>
      <c r="H14" s="839"/>
      <c r="I14" s="839"/>
      <c r="J14" s="839"/>
      <c r="K14" s="839"/>
    </row>
    <row r="15" spans="1:11" ht="29.25" customHeight="1">
      <c r="B15" s="588" t="s">
        <v>656</v>
      </c>
      <c r="C15" s="839" t="s">
        <v>684</v>
      </c>
      <c r="D15" s="839"/>
      <c r="E15" s="839"/>
      <c r="F15" s="839"/>
      <c r="G15" s="839"/>
      <c r="H15" s="839"/>
      <c r="I15" s="839"/>
      <c r="J15" s="839"/>
      <c r="K15" s="839"/>
    </row>
    <row r="16" spans="1:11" ht="30.75" customHeight="1">
      <c r="B16" s="588" t="s">
        <v>658</v>
      </c>
      <c r="C16" s="839" t="s">
        <v>685</v>
      </c>
      <c r="D16" s="839"/>
      <c r="E16" s="839"/>
      <c r="F16" s="839"/>
      <c r="G16" s="839"/>
      <c r="H16" s="839"/>
      <c r="I16" s="839"/>
      <c r="J16" s="839"/>
      <c r="K16" s="839"/>
    </row>
    <row r="17" spans="2:11">
      <c r="B17" s="588" t="s">
        <v>660</v>
      </c>
      <c r="C17" s="839" t="s">
        <v>686</v>
      </c>
      <c r="D17" s="839"/>
      <c r="E17" s="839"/>
      <c r="F17" s="839"/>
      <c r="G17" s="839"/>
      <c r="H17" s="839"/>
      <c r="I17" s="839"/>
      <c r="J17" s="839"/>
      <c r="K17" s="839"/>
    </row>
    <row r="18" spans="2:11">
      <c r="B18" s="588"/>
      <c r="C18" s="839" t="s">
        <v>687</v>
      </c>
      <c r="D18" s="839"/>
      <c r="E18" s="839"/>
      <c r="F18" s="839"/>
      <c r="G18" s="839"/>
      <c r="H18" s="839"/>
      <c r="I18" s="839"/>
      <c r="J18" s="839"/>
      <c r="K18" s="839"/>
    </row>
    <row r="19" spans="2:11">
      <c r="B19" s="588"/>
      <c r="C19" s="839" t="s">
        <v>688</v>
      </c>
      <c r="D19" s="839"/>
      <c r="E19" s="839"/>
      <c r="F19" s="839"/>
      <c r="G19" s="839"/>
      <c r="H19" s="839"/>
      <c r="I19" s="839"/>
      <c r="J19" s="839"/>
      <c r="K19" s="839"/>
    </row>
    <row r="20" spans="2:11">
      <c r="B20" s="588"/>
      <c r="C20" s="839" t="s">
        <v>689</v>
      </c>
      <c r="D20" s="839"/>
      <c r="E20" s="839"/>
      <c r="F20" s="839"/>
      <c r="G20" s="839"/>
      <c r="H20" s="839"/>
      <c r="I20" s="839"/>
      <c r="J20" s="839"/>
      <c r="K20" s="839"/>
    </row>
    <row r="21" spans="2:11" ht="30" customHeight="1">
      <c r="B21" s="588"/>
      <c r="C21" s="839" t="s">
        <v>690</v>
      </c>
      <c r="D21" s="839"/>
      <c r="E21" s="839"/>
      <c r="F21" s="839"/>
      <c r="G21" s="839"/>
      <c r="H21" s="839"/>
      <c r="I21" s="839"/>
      <c r="J21" s="839"/>
      <c r="K21" s="839"/>
    </row>
    <row r="22" spans="2:11">
      <c r="B22" s="588"/>
      <c r="C22" s="839" t="s">
        <v>691</v>
      </c>
      <c r="D22" s="839"/>
      <c r="E22" s="839"/>
      <c r="F22" s="839"/>
      <c r="G22" s="839"/>
      <c r="H22" s="839"/>
      <c r="I22" s="839"/>
      <c r="J22" s="839"/>
      <c r="K22" s="839"/>
    </row>
    <row r="23" spans="2:11">
      <c r="B23" s="588"/>
      <c r="C23" s="839" t="s">
        <v>692</v>
      </c>
      <c r="D23" s="839"/>
      <c r="E23" s="839"/>
      <c r="F23" s="839"/>
      <c r="G23" s="839"/>
      <c r="H23" s="839"/>
      <c r="I23" s="839"/>
      <c r="J23" s="839"/>
      <c r="K23" s="839"/>
    </row>
    <row r="24" spans="2:11" ht="30.75" customHeight="1">
      <c r="B24" s="588"/>
      <c r="C24" s="839" t="s">
        <v>693</v>
      </c>
      <c r="D24" s="839"/>
      <c r="E24" s="839"/>
      <c r="F24" s="839"/>
      <c r="G24" s="839"/>
      <c r="H24" s="839"/>
      <c r="I24" s="839"/>
      <c r="J24" s="839"/>
      <c r="K24" s="839"/>
    </row>
    <row r="25" spans="2:11">
      <c r="B25" s="588"/>
      <c r="C25" s="839" t="s">
        <v>694</v>
      </c>
      <c r="D25" s="839"/>
      <c r="E25" s="839"/>
      <c r="F25" s="839"/>
      <c r="G25" s="839"/>
      <c r="H25" s="839"/>
      <c r="I25" s="839"/>
      <c r="J25" s="839"/>
      <c r="K25" s="839"/>
    </row>
    <row r="26" spans="2:11">
      <c r="B26" s="588"/>
      <c r="C26" s="839" t="s">
        <v>695</v>
      </c>
      <c r="D26" s="839"/>
      <c r="E26" s="839"/>
      <c r="F26" s="839"/>
      <c r="G26" s="839"/>
      <c r="H26" s="839"/>
      <c r="I26" s="839"/>
      <c r="J26" s="839"/>
      <c r="K26" s="839"/>
    </row>
    <row r="27" spans="2:11" ht="29.25" customHeight="1">
      <c r="B27" s="588"/>
      <c r="C27" s="839" t="s">
        <v>696</v>
      </c>
      <c r="D27" s="839"/>
      <c r="E27" s="839"/>
      <c r="F27" s="839"/>
      <c r="G27" s="839"/>
      <c r="H27" s="839"/>
      <c r="I27" s="839"/>
      <c r="J27" s="839"/>
      <c r="K27" s="839"/>
    </row>
    <row r="28" spans="2:11" ht="30" customHeight="1">
      <c r="B28" s="588"/>
      <c r="C28" s="839" t="s">
        <v>697</v>
      </c>
      <c r="D28" s="839"/>
      <c r="E28" s="839"/>
      <c r="F28" s="839"/>
      <c r="G28" s="839"/>
      <c r="H28" s="839"/>
      <c r="I28" s="839"/>
      <c r="J28" s="839"/>
      <c r="K28" s="839"/>
    </row>
    <row r="29" spans="2:11" ht="30" customHeight="1">
      <c r="B29" s="588"/>
      <c r="C29" s="839" t="s">
        <v>698</v>
      </c>
      <c r="D29" s="839"/>
      <c r="E29" s="839"/>
      <c r="F29" s="839"/>
      <c r="G29" s="839"/>
      <c r="H29" s="839"/>
      <c r="I29" s="839"/>
      <c r="J29" s="839"/>
      <c r="K29" s="839"/>
    </row>
    <row r="30" spans="2:11">
      <c r="B30" s="588"/>
      <c r="C30" s="839"/>
      <c r="D30" s="839"/>
      <c r="E30" s="839"/>
      <c r="F30" s="839"/>
      <c r="G30" s="839"/>
      <c r="H30" s="839"/>
      <c r="I30" s="839"/>
      <c r="J30" s="839"/>
      <c r="K30" s="839"/>
    </row>
    <row r="31" spans="2:11">
      <c r="B31" s="591" t="s">
        <v>699</v>
      </c>
      <c r="C31" s="592"/>
      <c r="D31" s="592"/>
      <c r="E31" s="592"/>
      <c r="F31" s="592"/>
      <c r="G31" s="592"/>
      <c r="H31" s="592"/>
      <c r="I31" s="592"/>
      <c r="J31" s="592"/>
      <c r="K31" s="592"/>
    </row>
    <row r="32" spans="2:11">
      <c r="B32" s="588" t="s">
        <v>636</v>
      </c>
      <c r="C32" s="839" t="s">
        <v>674</v>
      </c>
      <c r="D32" s="839"/>
      <c r="E32" s="839"/>
      <c r="F32" s="839"/>
      <c r="G32" s="839"/>
      <c r="H32" s="839"/>
      <c r="I32" s="839"/>
      <c r="J32" s="839"/>
      <c r="K32" s="839"/>
    </row>
    <row r="33" spans="2:11">
      <c r="B33" s="588" t="s">
        <v>638</v>
      </c>
      <c r="C33" s="839" t="s">
        <v>675</v>
      </c>
      <c r="D33" s="839"/>
      <c r="E33" s="839"/>
      <c r="F33" s="839"/>
      <c r="G33" s="839"/>
      <c r="H33" s="839"/>
      <c r="I33" s="839"/>
      <c r="J33" s="839"/>
      <c r="K33" s="839"/>
    </row>
    <row r="34" spans="2:11" ht="30" customHeight="1">
      <c r="B34" s="588" t="s">
        <v>640</v>
      </c>
      <c r="C34" s="839" t="s">
        <v>700</v>
      </c>
      <c r="D34" s="839"/>
      <c r="E34" s="839"/>
      <c r="F34" s="839"/>
      <c r="G34" s="839"/>
      <c r="H34" s="839"/>
      <c r="I34" s="839"/>
      <c r="J34" s="839"/>
      <c r="K34" s="839"/>
    </row>
    <row r="35" spans="2:11" ht="60" customHeight="1">
      <c r="B35" s="588" t="s">
        <v>642</v>
      </c>
      <c r="C35" s="839" t="s">
        <v>701</v>
      </c>
      <c r="D35" s="839"/>
      <c r="E35" s="839"/>
      <c r="F35" s="839"/>
      <c r="G35" s="839"/>
      <c r="H35" s="839"/>
      <c r="I35" s="839"/>
      <c r="J35" s="839"/>
      <c r="K35" s="839"/>
    </row>
    <row r="36" spans="2:11" ht="45" customHeight="1">
      <c r="B36" s="588" t="s">
        <v>644</v>
      </c>
      <c r="C36" s="839" t="s">
        <v>702</v>
      </c>
      <c r="D36" s="839"/>
      <c r="E36" s="839"/>
      <c r="F36" s="839"/>
      <c r="G36" s="839"/>
      <c r="H36" s="839"/>
      <c r="I36" s="839"/>
      <c r="J36" s="839"/>
      <c r="K36" s="839"/>
    </row>
    <row r="37" spans="2:11" ht="45" customHeight="1">
      <c r="B37" s="588" t="s">
        <v>646</v>
      </c>
      <c r="C37" s="839" t="s">
        <v>703</v>
      </c>
      <c r="D37" s="839"/>
      <c r="E37" s="839"/>
      <c r="F37" s="839"/>
      <c r="G37" s="839"/>
      <c r="H37" s="839"/>
      <c r="I37" s="839"/>
      <c r="J37" s="839"/>
      <c r="K37" s="839"/>
    </row>
    <row r="38" spans="2:11">
      <c r="B38" s="588" t="s">
        <v>648</v>
      </c>
      <c r="C38" s="839" t="s">
        <v>704</v>
      </c>
      <c r="D38" s="839"/>
      <c r="E38" s="839"/>
      <c r="F38" s="839"/>
      <c r="G38" s="839"/>
      <c r="H38" s="839"/>
      <c r="I38" s="839"/>
      <c r="J38" s="839"/>
      <c r="K38" s="839"/>
    </row>
    <row r="39" spans="2:11" ht="30" customHeight="1">
      <c r="B39" s="588" t="s">
        <v>650</v>
      </c>
      <c r="C39" s="839" t="s">
        <v>705</v>
      </c>
      <c r="D39" s="839"/>
      <c r="E39" s="839"/>
      <c r="F39" s="839"/>
      <c r="G39" s="839"/>
      <c r="H39" s="839"/>
      <c r="I39" s="839"/>
      <c r="J39" s="839"/>
      <c r="K39" s="839"/>
    </row>
    <row r="40" spans="2:11" ht="46.5" customHeight="1">
      <c r="B40" s="588" t="s">
        <v>652</v>
      </c>
      <c r="C40" s="839" t="s">
        <v>706</v>
      </c>
      <c r="D40" s="839"/>
      <c r="E40" s="839"/>
      <c r="F40" s="839"/>
      <c r="G40" s="839"/>
      <c r="H40" s="839"/>
      <c r="I40" s="839"/>
      <c r="J40" s="839"/>
      <c r="K40" s="839"/>
    </row>
    <row r="41" spans="2:11" ht="30.75" customHeight="1">
      <c r="B41" s="588" t="s">
        <v>654</v>
      </c>
      <c r="C41" s="839" t="s">
        <v>707</v>
      </c>
      <c r="D41" s="839"/>
      <c r="E41" s="839"/>
      <c r="F41" s="839"/>
      <c r="G41" s="839"/>
      <c r="H41" s="839"/>
      <c r="I41" s="839"/>
      <c r="J41" s="839"/>
      <c r="K41" s="839"/>
    </row>
    <row r="42" spans="2:11">
      <c r="B42" s="588" t="s">
        <v>656</v>
      </c>
      <c r="C42" s="839" t="s">
        <v>708</v>
      </c>
      <c r="D42" s="839"/>
      <c r="E42" s="839"/>
      <c r="F42" s="839"/>
      <c r="G42" s="839"/>
      <c r="H42" s="839"/>
      <c r="I42" s="839"/>
      <c r="J42" s="839"/>
      <c r="K42" s="839"/>
    </row>
    <row r="43" spans="2:11">
      <c r="C43" s="839" t="s">
        <v>709</v>
      </c>
      <c r="D43" s="839"/>
      <c r="E43" s="839"/>
      <c r="F43" s="839"/>
      <c r="G43" s="839"/>
      <c r="H43" s="839"/>
      <c r="I43" s="839"/>
      <c r="J43" s="839"/>
      <c r="K43" s="839"/>
    </row>
    <row r="44" spans="2:11">
      <c r="C44" s="839" t="s">
        <v>710</v>
      </c>
      <c r="D44" s="839"/>
      <c r="E44" s="839"/>
      <c r="F44" s="839"/>
      <c r="G44" s="839"/>
      <c r="H44" s="839"/>
      <c r="I44" s="839"/>
      <c r="J44" s="839"/>
      <c r="K44" s="839"/>
    </row>
    <row r="45" spans="2:11">
      <c r="C45" s="839" t="s">
        <v>711</v>
      </c>
      <c r="D45" s="839"/>
      <c r="E45" s="839"/>
      <c r="F45" s="839"/>
      <c r="G45" s="839"/>
      <c r="H45" s="839"/>
      <c r="I45" s="839"/>
      <c r="J45" s="839"/>
      <c r="K45" s="839"/>
    </row>
    <row r="46" spans="2:11">
      <c r="C46" s="839" t="s">
        <v>712</v>
      </c>
      <c r="D46" s="839"/>
      <c r="E46" s="839"/>
      <c r="F46" s="839"/>
      <c r="G46" s="839"/>
      <c r="H46" s="839"/>
      <c r="I46" s="839"/>
      <c r="J46" s="839"/>
      <c r="K46" s="839"/>
    </row>
    <row r="47" spans="2:11" ht="45.75" customHeight="1">
      <c r="C47" s="839" t="s">
        <v>713</v>
      </c>
      <c r="D47" s="839"/>
      <c r="E47" s="839"/>
      <c r="F47" s="839"/>
      <c r="G47" s="839"/>
      <c r="H47" s="839"/>
      <c r="I47" s="839"/>
      <c r="J47" s="839"/>
      <c r="K47" s="839"/>
    </row>
    <row r="48" spans="2:11">
      <c r="C48" s="839" t="s">
        <v>714</v>
      </c>
      <c r="D48" s="839"/>
      <c r="E48" s="839"/>
      <c r="F48" s="839"/>
      <c r="G48" s="839"/>
      <c r="H48" s="839"/>
      <c r="I48" s="839"/>
      <c r="J48" s="839"/>
      <c r="K48" s="839"/>
    </row>
    <row r="49" spans="3:11" ht="30" customHeight="1">
      <c r="C49" s="839" t="s">
        <v>715</v>
      </c>
      <c r="D49" s="839"/>
      <c r="E49" s="839"/>
      <c r="F49" s="839"/>
      <c r="G49" s="839"/>
      <c r="H49" s="839"/>
      <c r="I49" s="839"/>
      <c r="J49" s="839"/>
      <c r="K49" s="839"/>
    </row>
    <row r="50" spans="3:11">
      <c r="C50" s="839" t="s">
        <v>691</v>
      </c>
      <c r="D50" s="839"/>
      <c r="E50" s="839"/>
      <c r="F50" s="839"/>
      <c r="G50" s="839"/>
      <c r="H50" s="839"/>
      <c r="I50" s="839"/>
      <c r="J50" s="839"/>
      <c r="K50" s="839"/>
    </row>
    <row r="51" spans="3:11">
      <c r="C51" s="839" t="s">
        <v>692</v>
      </c>
      <c r="D51" s="839"/>
      <c r="E51" s="839"/>
      <c r="F51" s="839"/>
      <c r="G51" s="839"/>
      <c r="H51" s="839"/>
      <c r="I51" s="839"/>
      <c r="J51" s="839"/>
      <c r="K51" s="839"/>
    </row>
    <row r="52" spans="3:11" ht="29.25" customHeight="1">
      <c r="C52" s="839" t="s">
        <v>716</v>
      </c>
      <c r="D52" s="839"/>
      <c r="E52" s="839"/>
      <c r="F52" s="839"/>
      <c r="G52" s="839"/>
      <c r="H52" s="839"/>
      <c r="I52" s="839"/>
      <c r="J52" s="839"/>
      <c r="K52" s="839"/>
    </row>
    <row r="53" spans="3:11">
      <c r="C53" s="839" t="s">
        <v>694</v>
      </c>
      <c r="D53" s="839"/>
      <c r="E53" s="839"/>
      <c r="F53" s="839"/>
      <c r="G53" s="839"/>
      <c r="H53" s="839"/>
      <c r="I53" s="839"/>
      <c r="J53" s="839"/>
      <c r="K53" s="839"/>
    </row>
    <row r="54" spans="3:11">
      <c r="C54" s="839" t="s">
        <v>695</v>
      </c>
      <c r="D54" s="839"/>
      <c r="E54" s="839"/>
      <c r="F54" s="839"/>
      <c r="G54" s="839"/>
      <c r="H54" s="839"/>
      <c r="I54" s="839"/>
      <c r="J54" s="839"/>
      <c r="K54" s="839"/>
    </row>
    <row r="55" spans="3:11" ht="30" customHeight="1">
      <c r="C55" s="839" t="s">
        <v>717</v>
      </c>
      <c r="D55" s="839"/>
      <c r="E55" s="839"/>
      <c r="F55" s="839"/>
      <c r="G55" s="839"/>
      <c r="H55" s="839"/>
      <c r="I55" s="839"/>
      <c r="J55" s="839"/>
      <c r="K55" s="839"/>
    </row>
    <row r="56" spans="3:11" ht="31.5" customHeight="1">
      <c r="C56" s="839" t="s">
        <v>718</v>
      </c>
      <c r="D56" s="839"/>
      <c r="E56" s="839"/>
      <c r="F56" s="839"/>
      <c r="G56" s="839"/>
      <c r="H56" s="839"/>
      <c r="I56" s="839"/>
      <c r="J56" s="839"/>
      <c r="K56" s="839"/>
    </row>
    <row r="57" spans="3:11">
      <c r="C57" s="839" t="s">
        <v>719</v>
      </c>
      <c r="D57" s="839"/>
      <c r="E57" s="839"/>
      <c r="F57" s="839"/>
      <c r="G57" s="839"/>
      <c r="H57" s="839"/>
      <c r="I57" s="839"/>
      <c r="J57" s="839"/>
      <c r="K57" s="839"/>
    </row>
    <row r="58" spans="3:11">
      <c r="C58" s="839" t="s">
        <v>720</v>
      </c>
      <c r="D58" s="839"/>
      <c r="E58" s="839"/>
      <c r="F58" s="839"/>
      <c r="G58" s="839"/>
      <c r="H58" s="839"/>
      <c r="I58" s="839"/>
      <c r="J58" s="839"/>
      <c r="K58" s="839"/>
    </row>
    <row r="59" spans="3:11" ht="30" customHeight="1">
      <c r="C59" s="839" t="s">
        <v>721</v>
      </c>
      <c r="D59" s="839"/>
      <c r="E59" s="839"/>
      <c r="F59" s="839"/>
      <c r="G59" s="839"/>
      <c r="H59" s="839"/>
      <c r="I59" s="839"/>
      <c r="J59" s="839"/>
      <c r="K59" s="839"/>
    </row>
    <row r="60" spans="3:11">
      <c r="C60" s="839" t="s">
        <v>722</v>
      </c>
      <c r="D60" s="839"/>
      <c r="E60" s="839"/>
      <c r="F60" s="839"/>
      <c r="G60" s="839"/>
      <c r="H60" s="839"/>
      <c r="I60" s="839"/>
      <c r="J60" s="839"/>
      <c r="K60" s="839"/>
    </row>
    <row r="61" spans="3:11">
      <c r="C61" s="839" t="s">
        <v>723</v>
      </c>
      <c r="D61" s="839"/>
      <c r="E61" s="839"/>
      <c r="F61" s="839"/>
      <c r="G61" s="839"/>
      <c r="H61" s="839"/>
      <c r="I61" s="839"/>
      <c r="J61" s="839"/>
      <c r="K61" s="839"/>
    </row>
    <row r="62" spans="3:11" ht="30" customHeight="1">
      <c r="C62" s="839" t="s">
        <v>724</v>
      </c>
      <c r="D62" s="839"/>
      <c r="E62" s="839"/>
      <c r="F62" s="839"/>
      <c r="G62" s="839"/>
      <c r="H62" s="839"/>
      <c r="I62" s="839"/>
      <c r="J62" s="839"/>
      <c r="K62" s="839"/>
    </row>
    <row r="63" spans="3:11" ht="60" customHeight="1">
      <c r="C63" s="839" t="s">
        <v>725</v>
      </c>
      <c r="D63" s="839"/>
      <c r="E63" s="839"/>
      <c r="F63" s="839"/>
      <c r="G63" s="839"/>
      <c r="H63" s="839"/>
      <c r="I63" s="839"/>
      <c r="J63" s="839"/>
      <c r="K63" s="839"/>
    </row>
    <row r="64" spans="3:11" ht="45.75" customHeight="1">
      <c r="C64" s="839" t="s">
        <v>726</v>
      </c>
      <c r="D64" s="839"/>
      <c r="E64" s="839"/>
      <c r="F64" s="839"/>
      <c r="G64" s="839"/>
      <c r="H64" s="839"/>
      <c r="I64" s="839"/>
      <c r="J64" s="839"/>
      <c r="K64" s="839"/>
    </row>
    <row r="65" spans="2:11">
      <c r="B65" s="591" t="s">
        <v>727</v>
      </c>
      <c r="C65" s="592"/>
      <c r="D65" s="592"/>
      <c r="E65" s="592"/>
      <c r="F65" s="592"/>
      <c r="G65" s="592"/>
      <c r="H65" s="592"/>
      <c r="I65" s="592"/>
      <c r="J65" s="592"/>
      <c r="K65" s="592"/>
    </row>
    <row r="66" spans="2:11">
      <c r="B66" s="588" t="s">
        <v>636</v>
      </c>
      <c r="C66" s="839" t="s">
        <v>674</v>
      </c>
      <c r="D66" s="839"/>
      <c r="E66" s="839"/>
      <c r="F66" s="839"/>
      <c r="G66" s="839"/>
      <c r="H66" s="839"/>
      <c r="I66" s="839"/>
      <c r="J66" s="839"/>
      <c r="K66" s="839"/>
    </row>
    <row r="67" spans="2:11">
      <c r="B67" s="588" t="s">
        <v>638</v>
      </c>
      <c r="C67" s="839" t="s">
        <v>675</v>
      </c>
      <c r="D67" s="839"/>
      <c r="E67" s="839"/>
      <c r="F67" s="839"/>
      <c r="G67" s="839"/>
      <c r="H67" s="839"/>
      <c r="I67" s="839"/>
      <c r="J67" s="839"/>
      <c r="K67" s="839"/>
    </row>
    <row r="68" spans="2:11">
      <c r="B68" s="588" t="s">
        <v>640</v>
      </c>
      <c r="C68" s="839" t="s">
        <v>728</v>
      </c>
      <c r="D68" s="839"/>
      <c r="E68" s="839"/>
      <c r="F68" s="839"/>
      <c r="G68" s="839"/>
      <c r="H68" s="839"/>
      <c r="I68" s="839"/>
      <c r="J68" s="839"/>
      <c r="K68" s="839"/>
    </row>
    <row r="69" spans="2:11" ht="30.75" customHeight="1">
      <c r="B69" s="588" t="s">
        <v>642</v>
      </c>
      <c r="C69" s="839" t="s">
        <v>729</v>
      </c>
      <c r="D69" s="839"/>
      <c r="E69" s="839"/>
      <c r="F69" s="839"/>
      <c r="G69" s="839"/>
      <c r="H69" s="839"/>
      <c r="I69" s="839"/>
      <c r="J69" s="839"/>
      <c r="K69" s="839"/>
    </row>
    <row r="70" spans="2:11" ht="30.75" customHeight="1">
      <c r="B70" s="588" t="s">
        <v>644</v>
      </c>
      <c r="C70" s="839" t="s">
        <v>730</v>
      </c>
      <c r="D70" s="839"/>
      <c r="E70" s="839"/>
      <c r="F70" s="839"/>
      <c r="G70" s="839"/>
      <c r="H70" s="839"/>
      <c r="I70" s="839"/>
      <c r="J70" s="839"/>
      <c r="K70" s="839"/>
    </row>
    <row r="71" spans="2:11" ht="30.75" customHeight="1">
      <c r="B71" s="588" t="s">
        <v>646</v>
      </c>
      <c r="C71" s="839" t="s">
        <v>731</v>
      </c>
      <c r="D71" s="839"/>
      <c r="E71" s="839"/>
      <c r="F71" s="839"/>
      <c r="G71" s="839"/>
      <c r="H71" s="839"/>
      <c r="I71" s="839"/>
      <c r="J71" s="839"/>
      <c r="K71" s="839"/>
    </row>
    <row r="72" spans="2:11" ht="29.25" customHeight="1">
      <c r="B72" s="588" t="s">
        <v>648</v>
      </c>
      <c r="C72" s="839" t="s">
        <v>732</v>
      </c>
      <c r="D72" s="839"/>
      <c r="E72" s="839"/>
      <c r="F72" s="839"/>
      <c r="G72" s="839"/>
      <c r="H72" s="839"/>
      <c r="I72" s="839"/>
      <c r="J72" s="839"/>
      <c r="K72" s="839"/>
    </row>
    <row r="73" spans="2:11">
      <c r="B73" s="588" t="s">
        <v>650</v>
      </c>
      <c r="C73" s="839" t="s">
        <v>733</v>
      </c>
      <c r="D73" s="839"/>
      <c r="E73" s="839"/>
      <c r="F73" s="839"/>
      <c r="G73" s="839"/>
      <c r="H73" s="839"/>
      <c r="I73" s="839"/>
      <c r="J73" s="839"/>
      <c r="K73" s="839"/>
    </row>
    <row r="74" spans="2:11" ht="30" customHeight="1">
      <c r="B74" s="588" t="s">
        <v>652</v>
      </c>
      <c r="C74" s="839" t="s">
        <v>734</v>
      </c>
      <c r="D74" s="839"/>
      <c r="E74" s="839"/>
      <c r="F74" s="839"/>
      <c r="G74" s="839"/>
      <c r="H74" s="839"/>
      <c r="I74" s="839"/>
      <c r="J74" s="839"/>
      <c r="K74" s="839"/>
    </row>
    <row r="75" spans="2:11">
      <c r="B75" s="588" t="s">
        <v>654</v>
      </c>
      <c r="C75" s="839" t="s">
        <v>735</v>
      </c>
      <c r="D75" s="839"/>
      <c r="E75" s="839"/>
      <c r="F75" s="839"/>
      <c r="G75" s="839"/>
      <c r="H75" s="839"/>
      <c r="I75" s="839"/>
      <c r="J75" s="839"/>
      <c r="K75" s="839"/>
    </row>
    <row r="76" spans="2:11">
      <c r="B76" s="588"/>
      <c r="C76" s="839" t="s">
        <v>736</v>
      </c>
      <c r="D76" s="839"/>
      <c r="E76" s="839"/>
      <c r="F76" s="839"/>
      <c r="G76" s="839"/>
      <c r="H76" s="839"/>
      <c r="I76" s="839"/>
      <c r="J76" s="839"/>
      <c r="K76" s="839"/>
    </row>
    <row r="77" spans="2:11" ht="29.25" customHeight="1">
      <c r="B77" s="588"/>
      <c r="C77" s="839" t="s">
        <v>737</v>
      </c>
      <c r="D77" s="839"/>
      <c r="E77" s="839"/>
      <c r="F77" s="839"/>
      <c r="G77" s="839"/>
      <c r="H77" s="839"/>
      <c r="I77" s="839"/>
      <c r="J77" s="839"/>
      <c r="K77" s="839"/>
    </row>
    <row r="78" spans="2:11">
      <c r="B78" s="588"/>
      <c r="C78" s="839" t="s">
        <v>738</v>
      </c>
      <c r="D78" s="839"/>
      <c r="E78" s="839"/>
      <c r="F78" s="839"/>
      <c r="G78" s="839"/>
      <c r="H78" s="839"/>
      <c r="I78" s="839"/>
      <c r="J78" s="839"/>
      <c r="K78" s="839"/>
    </row>
    <row r="79" spans="2:11">
      <c r="B79" s="588"/>
      <c r="C79" s="839" t="s">
        <v>739</v>
      </c>
      <c r="D79" s="839"/>
      <c r="E79" s="839"/>
      <c r="F79" s="839"/>
      <c r="G79" s="839"/>
      <c r="H79" s="839"/>
      <c r="I79" s="839"/>
      <c r="J79" s="839"/>
      <c r="K79" s="839"/>
    </row>
    <row r="80" spans="2:11" ht="29.25" customHeight="1">
      <c r="B80" s="588"/>
      <c r="C80" s="839" t="s">
        <v>740</v>
      </c>
      <c r="D80" s="839"/>
      <c r="E80" s="839"/>
      <c r="F80" s="839"/>
      <c r="G80" s="839"/>
      <c r="H80" s="839"/>
      <c r="I80" s="839"/>
      <c r="J80" s="839"/>
      <c r="K80" s="839"/>
    </row>
    <row r="81" spans="2:11">
      <c r="B81" s="588"/>
      <c r="C81" s="839" t="s">
        <v>741</v>
      </c>
      <c r="D81" s="839"/>
      <c r="E81" s="839"/>
      <c r="F81" s="839"/>
      <c r="G81" s="839"/>
      <c r="H81" s="839"/>
      <c r="I81" s="839"/>
      <c r="J81" s="839"/>
      <c r="K81" s="839"/>
    </row>
    <row r="82" spans="2:11" ht="45.75" customHeight="1">
      <c r="B82" s="588"/>
      <c r="C82" s="839" t="s">
        <v>742</v>
      </c>
      <c r="D82" s="839"/>
      <c r="E82" s="839"/>
      <c r="F82" s="839"/>
      <c r="G82" s="839"/>
      <c r="H82" s="839"/>
      <c r="I82" s="839"/>
      <c r="J82" s="839"/>
      <c r="K82" s="839"/>
    </row>
    <row r="83" spans="2:11">
      <c r="B83" s="588"/>
      <c r="C83" s="839" t="s">
        <v>743</v>
      </c>
      <c r="D83" s="839"/>
      <c r="E83" s="839"/>
      <c r="F83" s="839"/>
      <c r="G83" s="839"/>
      <c r="H83" s="839"/>
      <c r="I83" s="839"/>
      <c r="J83" s="839"/>
      <c r="K83" s="839"/>
    </row>
    <row r="84" spans="2:11" ht="30" customHeight="1">
      <c r="B84" s="588"/>
      <c r="C84" s="839" t="s">
        <v>744</v>
      </c>
      <c r="D84" s="839"/>
      <c r="E84" s="839"/>
      <c r="F84" s="839"/>
      <c r="G84" s="839"/>
      <c r="H84" s="839"/>
      <c r="I84" s="839"/>
      <c r="J84" s="839"/>
      <c r="K84" s="839"/>
    </row>
    <row r="85" spans="2:11" ht="29.25" customHeight="1">
      <c r="B85" s="588"/>
      <c r="C85" s="839" t="s">
        <v>745</v>
      </c>
      <c r="D85" s="839"/>
      <c r="E85" s="839"/>
      <c r="F85" s="839"/>
      <c r="G85" s="839"/>
      <c r="H85" s="839"/>
      <c r="I85" s="839"/>
      <c r="J85" s="839"/>
      <c r="K85" s="839"/>
    </row>
    <row r="86" spans="2:11" ht="30" customHeight="1">
      <c r="B86" s="588"/>
      <c r="C86" s="839" t="s">
        <v>721</v>
      </c>
      <c r="D86" s="839"/>
      <c r="E86" s="839"/>
      <c r="F86" s="839"/>
      <c r="G86" s="839"/>
      <c r="H86" s="839"/>
      <c r="I86" s="839"/>
      <c r="J86" s="839"/>
      <c r="K86" s="839"/>
    </row>
    <row r="87" spans="2:11">
      <c r="B87" s="588"/>
      <c r="C87" s="839"/>
      <c r="D87" s="839"/>
      <c r="E87" s="839"/>
      <c r="F87" s="839"/>
      <c r="G87" s="839"/>
      <c r="H87" s="839"/>
      <c r="I87" s="839"/>
      <c r="J87" s="839"/>
      <c r="K87" s="839"/>
    </row>
    <row r="88" spans="2:11">
      <c r="B88" s="588"/>
      <c r="C88" s="839"/>
      <c r="D88" s="839"/>
      <c r="E88" s="839"/>
      <c r="F88" s="839"/>
      <c r="G88" s="839"/>
      <c r="H88" s="839"/>
      <c r="I88" s="839"/>
      <c r="J88" s="839"/>
      <c r="K88" s="839"/>
    </row>
    <row r="89" spans="2:11">
      <c r="B89" s="588"/>
      <c r="C89" s="839"/>
      <c r="D89" s="839"/>
      <c r="E89" s="839"/>
      <c r="F89" s="839"/>
      <c r="G89" s="839"/>
      <c r="H89" s="839"/>
      <c r="I89" s="839"/>
      <c r="J89" s="839"/>
      <c r="K89" s="839"/>
    </row>
    <row r="90" spans="2:11">
      <c r="B90" s="588"/>
      <c r="C90" s="839"/>
      <c r="D90" s="839"/>
      <c r="E90" s="839"/>
      <c r="F90" s="839"/>
      <c r="G90" s="839"/>
      <c r="H90" s="839"/>
      <c r="I90" s="839"/>
      <c r="J90" s="839"/>
      <c r="K90" s="839"/>
    </row>
    <row r="91" spans="2:11">
      <c r="B91" s="588"/>
      <c r="C91" s="839"/>
      <c r="D91" s="839"/>
      <c r="E91" s="839"/>
      <c r="F91" s="839"/>
      <c r="G91" s="839"/>
      <c r="H91" s="839"/>
      <c r="I91" s="839"/>
      <c r="J91" s="839"/>
      <c r="K91" s="839"/>
    </row>
    <row r="92" spans="2:11">
      <c r="B92" s="588"/>
      <c r="C92" s="839"/>
      <c r="D92" s="839"/>
      <c r="E92" s="839"/>
      <c r="F92" s="839"/>
      <c r="G92" s="839"/>
      <c r="H92" s="839"/>
      <c r="I92" s="839"/>
      <c r="J92" s="839"/>
      <c r="K92" s="839"/>
    </row>
    <row r="93" spans="2:11">
      <c r="B93" s="588"/>
      <c r="C93" s="839"/>
      <c r="D93" s="839"/>
      <c r="E93" s="839"/>
      <c r="F93" s="839"/>
      <c r="G93" s="839"/>
      <c r="H93" s="839"/>
      <c r="I93" s="839"/>
      <c r="J93" s="839"/>
      <c r="K93" s="839"/>
    </row>
    <row r="94" spans="2:11">
      <c r="B94" s="588"/>
      <c r="C94" s="839"/>
      <c r="D94" s="839"/>
      <c r="E94" s="839"/>
      <c r="F94" s="839"/>
      <c r="G94" s="839"/>
      <c r="H94" s="839"/>
      <c r="I94" s="839"/>
      <c r="J94" s="839"/>
      <c r="K94" s="839"/>
    </row>
    <row r="95" spans="2:11">
      <c r="B95" s="588"/>
      <c r="C95" s="839"/>
      <c r="D95" s="839"/>
      <c r="E95" s="839"/>
      <c r="F95" s="839"/>
      <c r="G95" s="839"/>
      <c r="H95" s="839"/>
      <c r="I95" s="839"/>
      <c r="J95" s="839"/>
      <c r="K95" s="839"/>
    </row>
    <row r="96" spans="2:11">
      <c r="B96" s="588"/>
      <c r="C96" s="839"/>
      <c r="D96" s="839"/>
      <c r="E96" s="839"/>
      <c r="F96" s="839"/>
      <c r="G96" s="839"/>
      <c r="H96" s="839"/>
      <c r="I96" s="839"/>
      <c r="J96" s="839"/>
      <c r="K96" s="839"/>
    </row>
    <row r="97" spans="2:11">
      <c r="B97" s="588"/>
      <c r="C97" s="839"/>
      <c r="D97" s="839"/>
      <c r="E97" s="839"/>
      <c r="F97" s="839"/>
      <c r="G97" s="839"/>
      <c r="H97" s="839"/>
      <c r="I97" s="839"/>
      <c r="J97" s="839"/>
      <c r="K97" s="839"/>
    </row>
    <row r="98" spans="2:11">
      <c r="B98" s="588"/>
      <c r="C98" s="839"/>
      <c r="D98" s="839"/>
      <c r="E98" s="839"/>
      <c r="F98" s="839"/>
      <c r="G98" s="839"/>
      <c r="H98" s="839"/>
      <c r="I98" s="839"/>
      <c r="J98" s="839"/>
      <c r="K98" s="839"/>
    </row>
    <row r="99" spans="2:11">
      <c r="B99" s="588"/>
      <c r="C99" s="839"/>
      <c r="D99" s="839"/>
      <c r="E99" s="839"/>
      <c r="F99" s="839"/>
      <c r="G99" s="839"/>
      <c r="H99" s="839"/>
      <c r="I99" s="839"/>
      <c r="J99" s="839"/>
      <c r="K99" s="839"/>
    </row>
    <row r="100" spans="2:11">
      <c r="B100" s="588"/>
      <c r="C100" s="839"/>
      <c r="D100" s="839"/>
      <c r="E100" s="839"/>
      <c r="F100" s="839"/>
      <c r="G100" s="839"/>
      <c r="H100" s="839"/>
      <c r="I100" s="839"/>
      <c r="J100" s="839"/>
      <c r="K100" s="839"/>
    </row>
    <row r="101" spans="2:11">
      <c r="B101" s="588"/>
      <c r="C101" s="839"/>
      <c r="D101" s="839"/>
      <c r="E101" s="839"/>
      <c r="F101" s="839"/>
      <c r="G101" s="839"/>
      <c r="H101" s="839"/>
      <c r="I101" s="839"/>
      <c r="J101" s="839"/>
      <c r="K101" s="839"/>
    </row>
  </sheetData>
  <mergeCells count="95">
    <mergeCell ref="C97:K97"/>
    <mergeCell ref="C98:K98"/>
    <mergeCell ref="C99:K99"/>
    <mergeCell ref="C100:K100"/>
    <mergeCell ref="C101:K101"/>
    <mergeCell ref="C96:K96"/>
    <mergeCell ref="C85:K85"/>
    <mergeCell ref="C86:K86"/>
    <mergeCell ref="C87:K87"/>
    <mergeCell ref="C88:K88"/>
    <mergeCell ref="C89:K89"/>
    <mergeCell ref="C90:K90"/>
    <mergeCell ref="C91:K91"/>
    <mergeCell ref="C92:K92"/>
    <mergeCell ref="C93:K93"/>
    <mergeCell ref="C94:K94"/>
    <mergeCell ref="C95:K95"/>
    <mergeCell ref="C84:K84"/>
    <mergeCell ref="C73:K73"/>
    <mergeCell ref="C74:K74"/>
    <mergeCell ref="C75:K75"/>
    <mergeCell ref="C76:K76"/>
    <mergeCell ref="C77:K77"/>
    <mergeCell ref="C78:K78"/>
    <mergeCell ref="C79:K79"/>
    <mergeCell ref="C80:K80"/>
    <mergeCell ref="C81:K81"/>
    <mergeCell ref="C82:K82"/>
    <mergeCell ref="C83:K83"/>
    <mergeCell ref="C72:K72"/>
    <mergeCell ref="C60:K60"/>
    <mergeCell ref="C61:K61"/>
    <mergeCell ref="C62:K62"/>
    <mergeCell ref="C63:K63"/>
    <mergeCell ref="C64:K64"/>
    <mergeCell ref="C66:K66"/>
    <mergeCell ref="C67:K67"/>
    <mergeCell ref="C68:K68"/>
    <mergeCell ref="C69:K69"/>
    <mergeCell ref="C70:K70"/>
    <mergeCell ref="C71:K71"/>
    <mergeCell ref="C59:K59"/>
    <mergeCell ref="C48:K48"/>
    <mergeCell ref="C49:K49"/>
    <mergeCell ref="C50:K50"/>
    <mergeCell ref="C51:K51"/>
    <mergeCell ref="C52:K52"/>
    <mergeCell ref="C53:K53"/>
    <mergeCell ref="C54:K54"/>
    <mergeCell ref="C55:K55"/>
    <mergeCell ref="C56:K56"/>
    <mergeCell ref="C57:K57"/>
    <mergeCell ref="C58:K58"/>
    <mergeCell ref="C47:K47"/>
    <mergeCell ref="C36:K36"/>
    <mergeCell ref="C37:K37"/>
    <mergeCell ref="C38:K38"/>
    <mergeCell ref="C39:K39"/>
    <mergeCell ref="C40:K40"/>
    <mergeCell ref="C41:K41"/>
    <mergeCell ref="C42:K42"/>
    <mergeCell ref="C43:K43"/>
    <mergeCell ref="C44:K44"/>
    <mergeCell ref="C45:K45"/>
    <mergeCell ref="C46:K46"/>
    <mergeCell ref="C35:K35"/>
    <mergeCell ref="C23:K23"/>
    <mergeCell ref="C24:K24"/>
    <mergeCell ref="C25:K25"/>
    <mergeCell ref="C26:K26"/>
    <mergeCell ref="C27:K27"/>
    <mergeCell ref="C28:K28"/>
    <mergeCell ref="C29:K29"/>
    <mergeCell ref="C30:K30"/>
    <mergeCell ref="C32:K32"/>
    <mergeCell ref="C33:K33"/>
    <mergeCell ref="C34:K34"/>
    <mergeCell ref="C22:K22"/>
    <mergeCell ref="C11:K11"/>
    <mergeCell ref="C12:K12"/>
    <mergeCell ref="C13:K13"/>
    <mergeCell ref="C14:K14"/>
    <mergeCell ref="C15:K15"/>
    <mergeCell ref="C16:K16"/>
    <mergeCell ref="C17:K17"/>
    <mergeCell ref="C18:K18"/>
    <mergeCell ref="C19:K19"/>
    <mergeCell ref="C20:K20"/>
    <mergeCell ref="C21:K21"/>
    <mergeCell ref="C10:K10"/>
    <mergeCell ref="C5:K5"/>
    <mergeCell ref="C6:K6"/>
    <mergeCell ref="C7:K7"/>
    <mergeCell ref="C8:K8"/>
    <mergeCell ref="C9:K9"/>
  </mergeCells>
  <pageMargins left="0.17" right="0.16"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5">
    <tabColor rgb="FF00B0F0"/>
  </sheetPr>
  <dimension ref="B1:U291"/>
  <sheetViews>
    <sheetView topLeftCell="A7" workbookViewId="0">
      <selection activeCell="P28" sqref="P28:P29"/>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Detail!A38</f>
        <v>15 Year Refi-Uptown Portfolio</v>
      </c>
      <c r="D2" s="341"/>
      <c r="E2" s="341"/>
      <c r="F2" s="120"/>
      <c r="G2" s="120"/>
      <c r="H2" s="120"/>
      <c r="I2" s="120"/>
      <c r="J2" s="120"/>
      <c r="K2" s="120"/>
      <c r="L2" s="120"/>
      <c r="M2" s="121"/>
      <c r="N2" s="319"/>
    </row>
    <row r="3" spans="2:21" s="122" customFormat="1" ht="20.25" customHeight="1" thickBot="1">
      <c r="B3" s="319"/>
      <c r="C3" s="136" t="str">
        <f>Detail!B38</f>
        <v>M Angelini &amp; A Blakley</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Detail!V38</f>
        <v>Special Needs (PSH)</v>
      </c>
      <c r="G6" s="836"/>
      <c r="H6" s="357"/>
      <c r="I6" s="833" t="s">
        <v>219</v>
      </c>
      <c r="J6" s="834"/>
      <c r="K6" s="834"/>
      <c r="L6" s="837" t="str">
        <f>Detail!I38</f>
        <v>LIHTC - 4%</v>
      </c>
      <c r="M6" s="838"/>
      <c r="N6" s="318"/>
    </row>
    <row r="7" spans="2:21" ht="17.25" customHeight="1">
      <c r="B7" s="318"/>
      <c r="C7" s="796" t="s">
        <v>214</v>
      </c>
      <c r="D7" s="797"/>
      <c r="E7" s="352"/>
      <c r="F7" s="819" t="str">
        <f>Detail!C38</f>
        <v>Chicago</v>
      </c>
      <c r="G7" s="820"/>
      <c r="H7" s="357"/>
      <c r="I7" s="796" t="s">
        <v>183</v>
      </c>
      <c r="J7" s="797"/>
      <c r="K7" s="797"/>
      <c r="L7" s="830" t="str">
        <f>Detail!J38</f>
        <v>Bond</v>
      </c>
      <c r="M7" s="831"/>
      <c r="N7" s="318"/>
    </row>
    <row r="8" spans="2:21">
      <c r="B8" s="318"/>
      <c r="C8" s="796" t="s">
        <v>9</v>
      </c>
      <c r="D8" s="797"/>
      <c r="E8" s="352"/>
      <c r="F8" s="819" t="str">
        <f>Detail!D38</f>
        <v>Refinance/ Rehab</v>
      </c>
      <c r="G8" s="820"/>
      <c r="H8" s="357"/>
      <c r="I8" s="796" t="s">
        <v>184</v>
      </c>
      <c r="J8" s="797"/>
      <c r="K8" s="797"/>
      <c r="L8" s="830" t="str">
        <f>Detail!K38</f>
        <v>Local: City/County Funding</v>
      </c>
      <c r="M8" s="831"/>
      <c r="N8" s="318"/>
    </row>
    <row r="9" spans="2:21">
      <c r="B9" s="318"/>
      <c r="C9" s="796" t="s">
        <v>215</v>
      </c>
      <c r="D9" s="797"/>
      <c r="E9" s="353"/>
      <c r="F9" s="832">
        <f>Detail!T38</f>
        <v>449</v>
      </c>
      <c r="G9" s="820"/>
      <c r="H9" s="357"/>
      <c r="I9" s="796" t="s">
        <v>185</v>
      </c>
      <c r="J9" s="797"/>
      <c r="K9" s="797"/>
      <c r="L9" s="830" t="str">
        <f>Detail!L38</f>
        <v>Local: State Funding</v>
      </c>
      <c r="M9" s="831"/>
      <c r="N9" s="318"/>
    </row>
    <row r="10" spans="2:21" ht="17.25" customHeight="1">
      <c r="B10" s="318"/>
      <c r="C10" s="796" t="s">
        <v>216</v>
      </c>
      <c r="D10" s="797"/>
      <c r="E10" s="352"/>
      <c r="F10" s="819" t="str">
        <f>Detail!V38</f>
        <v>Special Needs (PSH)</v>
      </c>
      <c r="G10" s="820"/>
      <c r="H10" s="357"/>
      <c r="I10" s="796" t="s">
        <v>44</v>
      </c>
      <c r="J10" s="797"/>
      <c r="K10" s="797"/>
      <c r="L10" s="800">
        <f>Detail!AB38</f>
        <v>43752605</v>
      </c>
      <c r="M10" s="801"/>
      <c r="N10" s="318"/>
    </row>
    <row r="11" spans="2:21" ht="17.25" customHeight="1">
      <c r="B11" s="318"/>
      <c r="C11" s="361"/>
      <c r="D11" s="362"/>
      <c r="E11" s="352"/>
      <c r="F11" s="819" t="str">
        <f>Detail!W38</f>
        <v>Homeless</v>
      </c>
      <c r="G11" s="820"/>
      <c r="H11" s="357"/>
      <c r="I11" s="796" t="s">
        <v>602</v>
      </c>
      <c r="J11" s="797"/>
      <c r="K11" s="530"/>
      <c r="L11" s="828" t="str">
        <f>Detail!AG38</f>
        <v>TBD</v>
      </c>
      <c r="M11" s="829"/>
      <c r="N11" s="318"/>
    </row>
    <row r="12" spans="2:21" ht="32.25" customHeight="1">
      <c r="B12" s="318"/>
      <c r="C12" s="361"/>
      <c r="D12" s="362"/>
      <c r="E12" s="352"/>
      <c r="F12" s="819" t="str">
        <f>Detail!X38</f>
        <v>Dual Diagnosis</v>
      </c>
      <c r="G12" s="820"/>
      <c r="H12" s="357"/>
      <c r="I12" s="796" t="s">
        <v>603</v>
      </c>
      <c r="J12" s="797"/>
      <c r="K12" s="797"/>
      <c r="L12" s="825" t="str">
        <f>Detail!N38</f>
        <v>Self Generated at Closing</v>
      </c>
      <c r="M12" s="826"/>
      <c r="N12" s="318"/>
    </row>
    <row r="13" spans="2:21" ht="17.25" customHeight="1">
      <c r="B13" s="318"/>
      <c r="C13" s="796" t="s">
        <v>525</v>
      </c>
      <c r="D13" s="797"/>
      <c r="E13" s="354"/>
      <c r="F13" s="827" t="str">
        <f>Detail!AM38</f>
        <v>MHMG</v>
      </c>
      <c r="G13" s="820"/>
      <c r="H13" s="357"/>
      <c r="I13" s="796" t="s">
        <v>256</v>
      </c>
      <c r="J13" s="797"/>
      <c r="K13" s="797"/>
      <c r="L13" s="800">
        <f>Detail!AC38</f>
        <v>13663550</v>
      </c>
      <c r="M13" s="801"/>
      <c r="N13" s="318"/>
    </row>
    <row r="14" spans="2:21" ht="35.25" customHeight="1">
      <c r="B14" s="318"/>
      <c r="C14" s="796" t="s">
        <v>172</v>
      </c>
      <c r="D14" s="797"/>
      <c r="E14" s="352"/>
      <c r="F14" s="819" t="str">
        <f>Detail!Z38</f>
        <v>Case Management - In House</v>
      </c>
      <c r="G14" s="820"/>
      <c r="H14" s="357"/>
      <c r="I14" s="796" t="s">
        <v>257</v>
      </c>
      <c r="J14" s="797"/>
      <c r="K14" s="797"/>
      <c r="L14" s="800">
        <f>Detail!AF38</f>
        <v>12297195</v>
      </c>
      <c r="M14" s="801"/>
      <c r="N14" s="318"/>
    </row>
    <row r="15" spans="2:21" ht="17.25" customHeight="1" thickBot="1">
      <c r="B15" s="318"/>
      <c r="C15" s="796" t="s">
        <v>217</v>
      </c>
      <c r="D15" s="797"/>
      <c r="E15" s="355"/>
      <c r="F15" s="819" t="str">
        <f>Detail!AA38</f>
        <v>TBD</v>
      </c>
      <c r="G15" s="820"/>
      <c r="H15" s="357"/>
      <c r="I15" s="821" t="s">
        <v>255</v>
      </c>
      <c r="J15" s="822"/>
      <c r="K15" s="822"/>
      <c r="L15" s="823">
        <f>Detail!AD38</f>
        <v>1366355</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Detail!AH38</f>
        <v>3047000</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Detail!AJ38</f>
        <v>1523500</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Detail!AI38</f>
        <v>1523500</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6" thickTop="1">
      <c r="B21" s="320"/>
      <c r="C21" s="804" t="s">
        <v>46</v>
      </c>
      <c r="D21" s="805"/>
      <c r="E21" s="349"/>
      <c r="F21" s="806" t="str">
        <f>Detail!F38</f>
        <v>Feasibility</v>
      </c>
      <c r="G21" s="807"/>
      <c r="H21" s="359"/>
      <c r="I21" s="804" t="s">
        <v>226</v>
      </c>
      <c r="J21" s="805"/>
      <c r="K21" s="805"/>
      <c r="L21" s="808">
        <f>Detail!Q38</f>
        <v>0</v>
      </c>
      <c r="M21" s="809"/>
      <c r="N21" s="320"/>
    </row>
    <row r="22" spans="2:21" s="88" customFormat="1" ht="17.25" customHeight="1">
      <c r="B22" s="320"/>
      <c r="C22" s="796" t="s">
        <v>223</v>
      </c>
      <c r="D22" s="797"/>
      <c r="E22" s="348"/>
      <c r="F22" s="798">
        <f>Detail!P38</f>
        <v>41244</v>
      </c>
      <c r="G22" s="799"/>
      <c r="H22" s="359"/>
      <c r="I22" s="796" t="s">
        <v>227</v>
      </c>
      <c r="J22" s="797"/>
      <c r="K22" s="797"/>
      <c r="L22" s="800">
        <f>Detail!AO38+Detail!AP38+Detail!AQ38+Detail!AR38</f>
        <v>0</v>
      </c>
      <c r="M22" s="801"/>
      <c r="N22" s="320"/>
    </row>
    <row r="23" spans="2:21" s="88" customFormat="1" ht="17.25" customHeight="1">
      <c r="B23" s="320"/>
      <c r="C23" s="796" t="s">
        <v>224</v>
      </c>
      <c r="D23" s="797"/>
      <c r="E23" s="348"/>
      <c r="F23" s="798">
        <f>Detail!R38</f>
        <v>41275</v>
      </c>
      <c r="G23" s="799"/>
      <c r="H23" s="359"/>
      <c r="I23" s="796" t="s">
        <v>228</v>
      </c>
      <c r="J23" s="797"/>
      <c r="K23" s="797"/>
      <c r="L23" s="800">
        <f>Detail!BG38</f>
        <v>166666.5</v>
      </c>
      <c r="M23" s="801"/>
      <c r="N23" s="320"/>
    </row>
    <row r="24" spans="2:21" s="88" customFormat="1" ht="17.25" customHeight="1" thickBot="1">
      <c r="B24" s="320"/>
      <c r="C24" s="778" t="s">
        <v>225</v>
      </c>
      <c r="D24" s="779"/>
      <c r="E24" s="533"/>
      <c r="F24" s="780">
        <f>Detail!S38</f>
        <v>41730</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15 Year Refi-Uptown Portfolio</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c r="B38" s="322"/>
      <c r="C38" s="792" t="s">
        <v>514</v>
      </c>
      <c r="D38" s="793"/>
      <c r="E38" s="344"/>
      <c r="F38" s="368" t="str">
        <f>I92</f>
        <v>TBD</v>
      </c>
      <c r="G38" s="368" t="str">
        <f>J92</f>
        <v>TBD</v>
      </c>
      <c r="H38" s="794" t="s">
        <v>617</v>
      </c>
      <c r="I38" s="794"/>
      <c r="J38" s="794"/>
      <c r="K38" s="794"/>
      <c r="L38" s="794"/>
      <c r="M38" s="795"/>
      <c r="N38" s="322"/>
    </row>
    <row r="39" spans="2:19" s="300" customFormat="1" ht="12.75" customHeight="1">
      <c r="B39" s="322"/>
      <c r="C39" s="774" t="s">
        <v>516</v>
      </c>
      <c r="D39" s="775"/>
      <c r="E39" s="532"/>
      <c r="F39" s="368" t="str">
        <f>I94</f>
        <v>TBD</v>
      </c>
      <c r="G39" s="369" t="str">
        <f>J94</f>
        <v>TBD</v>
      </c>
      <c r="H39" s="772"/>
      <c r="I39" s="772"/>
      <c r="J39" s="772"/>
      <c r="K39" s="772"/>
      <c r="L39" s="772"/>
      <c r="M39" s="773"/>
      <c r="N39" s="322"/>
    </row>
    <row r="40" spans="2:19" s="300" customFormat="1">
      <c r="B40" s="322"/>
      <c r="C40" s="774" t="s">
        <v>344</v>
      </c>
      <c r="D40" s="775"/>
      <c r="E40" s="532"/>
      <c r="F40" s="368" t="str">
        <f>I96</f>
        <v>TBD</v>
      </c>
      <c r="G40" s="368" t="str">
        <f>J96</f>
        <v>TBD</v>
      </c>
      <c r="H40" s="772"/>
      <c r="I40" s="772"/>
      <c r="J40" s="772"/>
      <c r="K40" s="772"/>
      <c r="L40" s="772"/>
      <c r="M40" s="773"/>
      <c r="N40" s="322"/>
    </row>
    <row r="41" spans="2:19" s="300" customFormat="1" ht="12.75" customHeight="1">
      <c r="B41" s="322"/>
      <c r="C41" s="774" t="s">
        <v>535</v>
      </c>
      <c r="D41" s="775"/>
      <c r="E41" s="532"/>
      <c r="F41" s="368" t="str">
        <f>'Uptown Refi'!I102</f>
        <v>TBD</v>
      </c>
      <c r="G41" s="368" t="str">
        <f>J102</f>
        <v>TBD</v>
      </c>
      <c r="H41" s="772"/>
      <c r="I41" s="772"/>
      <c r="J41" s="772"/>
      <c r="K41" s="772"/>
      <c r="L41" s="772"/>
      <c r="M41" s="773"/>
      <c r="N41" s="322"/>
      <c r="P41" s="358"/>
      <c r="Q41" s="358"/>
      <c r="R41" s="358"/>
      <c r="S41" s="358"/>
    </row>
    <row r="42" spans="2:19" s="300" customFormat="1" ht="25.5" customHeight="1">
      <c r="B42" s="322"/>
      <c r="C42" s="774" t="s">
        <v>536</v>
      </c>
      <c r="D42" s="775"/>
      <c r="E42" s="532"/>
      <c r="F42" s="368" t="str">
        <f>I110</f>
        <v>TBD</v>
      </c>
      <c r="G42" s="368" t="str">
        <f>J110</f>
        <v>TBD</v>
      </c>
      <c r="H42" s="772" t="s">
        <v>618</v>
      </c>
      <c r="I42" s="772"/>
      <c r="J42" s="772"/>
      <c r="K42" s="772"/>
      <c r="L42" s="772"/>
      <c r="M42" s="773"/>
      <c r="N42" s="322"/>
      <c r="P42" s="358"/>
      <c r="Q42" s="358"/>
      <c r="R42" s="358"/>
      <c r="S42" s="358"/>
    </row>
    <row r="43" spans="2:19" s="300" customFormat="1">
      <c r="B43" s="322"/>
      <c r="C43" s="774" t="s">
        <v>517</v>
      </c>
      <c r="D43" s="775"/>
      <c r="E43" s="532"/>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32"/>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32"/>
      <c r="F45" s="368" t="str">
        <f>I200</f>
        <v>TBD</v>
      </c>
      <c r="G45" s="368" t="str">
        <f>J200</f>
        <v>TBD</v>
      </c>
      <c r="H45" s="772"/>
      <c r="I45" s="772"/>
      <c r="J45" s="772"/>
      <c r="K45" s="772"/>
      <c r="L45" s="772"/>
      <c r="M45" s="773"/>
      <c r="N45" s="322"/>
    </row>
    <row r="46" spans="2:19" s="300" customFormat="1">
      <c r="B46" s="322"/>
      <c r="C46" s="774" t="s">
        <v>538</v>
      </c>
      <c r="D46" s="775"/>
      <c r="E46" s="532"/>
      <c r="F46" s="368" t="str">
        <f>I232</f>
        <v>TBD</v>
      </c>
      <c r="G46" s="368" t="str">
        <f>J232</f>
        <v>TBD</v>
      </c>
      <c r="H46" s="772"/>
      <c r="I46" s="772"/>
      <c r="J46" s="772"/>
      <c r="K46" s="772"/>
      <c r="L46" s="772"/>
      <c r="M46" s="773"/>
      <c r="N46" s="322"/>
    </row>
    <row r="47" spans="2:19" s="300" customFormat="1">
      <c r="B47" s="322"/>
      <c r="C47" s="774" t="s">
        <v>55</v>
      </c>
      <c r="D47" s="775"/>
      <c r="E47" s="532"/>
      <c r="F47" s="368">
        <f>I225</f>
        <v>41274</v>
      </c>
      <c r="G47" s="368" t="str">
        <f>J225</f>
        <v>TBD</v>
      </c>
      <c r="H47" s="772"/>
      <c r="I47" s="772"/>
      <c r="J47" s="772"/>
      <c r="K47" s="772"/>
      <c r="L47" s="772"/>
      <c r="M47" s="773"/>
      <c r="N47" s="322"/>
    </row>
    <row r="48" spans="2:19" s="300" customFormat="1">
      <c r="B48" s="322"/>
      <c r="C48" s="774" t="s">
        <v>346</v>
      </c>
      <c r="D48" s="775"/>
      <c r="E48" s="532"/>
      <c r="F48" s="368">
        <f>I235</f>
        <v>41289</v>
      </c>
      <c r="G48" s="368" t="str">
        <f>J235</f>
        <v>TBD</v>
      </c>
      <c r="H48" s="772"/>
      <c r="I48" s="772"/>
      <c r="J48" s="772"/>
      <c r="K48" s="772"/>
      <c r="L48" s="772"/>
      <c r="M48" s="773"/>
      <c r="N48" s="322"/>
    </row>
    <row r="49" spans="2:14" s="300" customFormat="1">
      <c r="B49" s="322"/>
      <c r="C49" s="774" t="s">
        <v>347</v>
      </c>
      <c r="D49" s="775"/>
      <c r="E49" s="532"/>
      <c r="F49" s="368" t="str">
        <f>I237</f>
        <v>TBD</v>
      </c>
      <c r="G49" s="368" t="str">
        <f>J237</f>
        <v>TBD</v>
      </c>
      <c r="H49" s="772"/>
      <c r="I49" s="772"/>
      <c r="J49" s="772"/>
      <c r="K49" s="772"/>
      <c r="L49" s="772"/>
      <c r="M49" s="773"/>
      <c r="N49" s="322"/>
    </row>
    <row r="50" spans="2:14" s="300" customFormat="1">
      <c r="B50" s="322"/>
      <c r="C50" s="774" t="s">
        <v>348</v>
      </c>
      <c r="D50" s="775"/>
      <c r="E50" s="532"/>
      <c r="F50" s="368" t="str">
        <f>I254</f>
        <v>TBD</v>
      </c>
      <c r="G50" s="368" t="str">
        <f>J254</f>
        <v>TBD</v>
      </c>
      <c r="H50" s="772"/>
      <c r="I50" s="772"/>
      <c r="J50" s="772"/>
      <c r="K50" s="772"/>
      <c r="L50" s="772"/>
      <c r="M50" s="773"/>
      <c r="N50" s="322"/>
    </row>
    <row r="51" spans="2:14" s="300" customFormat="1">
      <c r="B51" s="322"/>
      <c r="C51" s="774" t="s">
        <v>65</v>
      </c>
      <c r="D51" s="775"/>
      <c r="E51" s="532"/>
      <c r="F51" s="368" t="str">
        <f>I255</f>
        <v>TBD</v>
      </c>
      <c r="G51" s="368" t="str">
        <f>J255</f>
        <v>TBD</v>
      </c>
      <c r="H51" s="772"/>
      <c r="I51" s="772"/>
      <c r="J51" s="772"/>
      <c r="K51" s="772"/>
      <c r="L51" s="772"/>
      <c r="M51" s="773"/>
      <c r="N51" s="322"/>
    </row>
    <row r="52" spans="2:14" s="300" customFormat="1">
      <c r="B52" s="322"/>
      <c r="C52" s="774" t="s">
        <v>540</v>
      </c>
      <c r="D52" s="775"/>
      <c r="E52" s="532"/>
      <c r="F52" s="368" t="str">
        <f>I273</f>
        <v>TBD</v>
      </c>
      <c r="G52" s="368" t="str">
        <f>J273</f>
        <v>TBD</v>
      </c>
      <c r="H52" s="772"/>
      <c r="I52" s="772"/>
      <c r="J52" s="772"/>
      <c r="K52" s="772"/>
      <c r="L52" s="772"/>
      <c r="M52" s="773"/>
      <c r="N52" s="322"/>
    </row>
    <row r="53" spans="2:14" s="300" customFormat="1">
      <c r="B53" s="322"/>
      <c r="C53" s="774" t="s">
        <v>542</v>
      </c>
      <c r="D53" s="775"/>
      <c r="E53" s="532"/>
      <c r="F53" s="368" t="str">
        <f>I276</f>
        <v>TBD</v>
      </c>
      <c r="G53" s="368" t="str">
        <f>J276</f>
        <v>TBD</v>
      </c>
      <c r="H53" s="772"/>
      <c r="I53" s="772"/>
      <c r="J53" s="772"/>
      <c r="K53" s="772"/>
      <c r="L53" s="772"/>
      <c r="M53" s="773"/>
      <c r="N53" s="322"/>
    </row>
    <row r="54" spans="2:14" s="300" customFormat="1">
      <c r="B54" s="322"/>
      <c r="C54" s="774">
        <v>8609</v>
      </c>
      <c r="D54" s="775"/>
      <c r="E54" s="532"/>
      <c r="F54" s="368" t="str">
        <f>I289</f>
        <v>TBD</v>
      </c>
      <c r="G54" s="368" t="str">
        <f>J289</f>
        <v>TBD</v>
      </c>
      <c r="H54" s="772"/>
      <c r="I54" s="772"/>
      <c r="J54" s="772"/>
      <c r="K54" s="772"/>
      <c r="L54" s="772"/>
      <c r="M54" s="773"/>
      <c r="N54" s="322"/>
    </row>
    <row r="55" spans="2:14" s="300" customForma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531"/>
      <c r="F56" s="338"/>
      <c r="G56" s="338"/>
      <c r="H56" s="772"/>
      <c r="I56" s="772"/>
      <c r="J56" s="772"/>
      <c r="K56" s="772"/>
      <c r="L56" s="772"/>
      <c r="M56" s="773"/>
      <c r="N56" s="322"/>
    </row>
    <row r="57" spans="2:14" s="300" customFormat="1" ht="14">
      <c r="B57" s="322"/>
      <c r="C57" s="770" t="s">
        <v>522</v>
      </c>
      <c r="D57" s="771"/>
      <c r="E57" s="531"/>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15 Year Refi-Uptown Portfolio</v>
      </c>
      <c r="J63" s="769"/>
      <c r="K63" s="17"/>
      <c r="L63" s="17"/>
      <c r="M63" s="8"/>
      <c r="N63" s="17"/>
    </row>
    <row r="64" spans="2:14" ht="16" thickBot="1">
      <c r="C64" s="308" t="s">
        <v>351</v>
      </c>
      <c r="D64" s="308"/>
      <c r="E64" s="308"/>
      <c r="F64" s="308"/>
      <c r="H64" s="363"/>
      <c r="I64" s="768" t="str">
        <f>F7</f>
        <v>Chicago</v>
      </c>
      <c r="J64" s="769"/>
      <c r="K64" s="17"/>
      <c r="L64" s="17"/>
      <c r="M64" s="8"/>
      <c r="N64" s="17"/>
    </row>
    <row r="65" spans="2:15" ht="16" thickBot="1">
      <c r="C65" s="308" t="s">
        <v>352</v>
      </c>
      <c r="D65" s="308"/>
      <c r="E65" s="308"/>
      <c r="F65" s="308"/>
      <c r="H65" s="363"/>
      <c r="I65" s="768" t="str">
        <f>C3</f>
        <v>M Angelini &amp; A Blakley</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t="s">
        <v>14</v>
      </c>
      <c r="J70" s="332" t="s">
        <v>14</v>
      </c>
    </row>
    <row r="71" spans="2:15">
      <c r="C71" s="2" t="s">
        <v>356</v>
      </c>
      <c r="D71" s="2"/>
      <c r="E71" s="2"/>
      <c r="F71" s="2"/>
      <c r="G71" s="2"/>
      <c r="H71" s="2"/>
      <c r="I71" s="332" t="s">
        <v>14</v>
      </c>
      <c r="J71" s="332" t="s">
        <v>14</v>
      </c>
    </row>
    <row r="72" spans="2:15">
      <c r="C72" s="2" t="s">
        <v>357</v>
      </c>
      <c r="D72" s="2"/>
      <c r="E72" s="2"/>
      <c r="F72" s="2"/>
      <c r="G72" s="2"/>
      <c r="H72" s="2"/>
      <c r="I72" s="332" t="s">
        <v>14</v>
      </c>
      <c r="J72" s="332" t="s">
        <v>14</v>
      </c>
    </row>
    <row r="73" spans="2:15">
      <c r="C73" s="2" t="s">
        <v>358</v>
      </c>
      <c r="D73" s="2"/>
      <c r="E73" s="2"/>
      <c r="F73" s="2"/>
      <c r="G73" s="2"/>
      <c r="H73" s="2"/>
      <c r="I73" s="332" t="s">
        <v>14</v>
      </c>
      <c r="J73" s="332" t="s">
        <v>14</v>
      </c>
    </row>
    <row r="74" spans="2:15">
      <c r="C74" s="312" t="s">
        <v>359</v>
      </c>
      <c r="D74" s="312"/>
      <c r="E74" s="312"/>
      <c r="F74" s="312"/>
      <c r="G74" s="312"/>
      <c r="H74" s="312"/>
      <c r="I74" s="332" t="s">
        <v>14</v>
      </c>
      <c r="J74" s="332" t="s">
        <v>14</v>
      </c>
    </row>
    <row r="75" spans="2:15">
      <c r="C75" s="2" t="s">
        <v>360</v>
      </c>
      <c r="D75" s="2"/>
      <c r="E75" s="2"/>
      <c r="F75" s="312"/>
      <c r="G75" s="312"/>
      <c r="H75" s="312"/>
      <c r="I75" s="332" t="s">
        <v>14</v>
      </c>
      <c r="J75" s="332" t="s">
        <v>14</v>
      </c>
    </row>
    <row r="76" spans="2:15">
      <c r="C76" s="2" t="s">
        <v>361</v>
      </c>
      <c r="D76" s="2"/>
      <c r="E76" s="2"/>
      <c r="F76" s="312"/>
      <c r="G76" s="312"/>
      <c r="H76" s="312"/>
      <c r="I76" s="332" t="s">
        <v>14</v>
      </c>
      <c r="J76" s="332" t="s">
        <v>14</v>
      </c>
    </row>
    <row r="77" spans="2:15">
      <c r="C77" s="2" t="s">
        <v>362</v>
      </c>
      <c r="D77" s="2"/>
      <c r="E77" s="2"/>
      <c r="F77" s="312"/>
      <c r="G77" s="312"/>
      <c r="H77" s="312"/>
      <c r="I77" s="534"/>
      <c r="J77" s="534"/>
    </row>
    <row r="78" spans="2:15">
      <c r="C78" s="312" t="s">
        <v>363</v>
      </c>
      <c r="D78" s="312"/>
      <c r="E78" s="312"/>
      <c r="F78" s="312"/>
      <c r="G78" s="312"/>
      <c r="H78" s="312"/>
      <c r="I78" s="332" t="s">
        <v>14</v>
      </c>
      <c r="J78" s="332" t="s">
        <v>14</v>
      </c>
    </row>
    <row r="79" spans="2:15">
      <c r="C79" s="312" t="s">
        <v>364</v>
      </c>
      <c r="D79" s="312"/>
      <c r="E79" s="312"/>
      <c r="F79" s="312"/>
      <c r="G79" s="312"/>
      <c r="H79" s="312"/>
      <c r="I79" s="332" t="s">
        <v>14</v>
      </c>
      <c r="J79" s="332" t="s">
        <v>14</v>
      </c>
    </row>
    <row r="80" spans="2:15">
      <c r="C80" s="312" t="s">
        <v>365</v>
      </c>
      <c r="D80" s="312"/>
      <c r="E80" s="312"/>
      <c r="F80" s="312"/>
      <c r="G80" s="312"/>
      <c r="H80" s="312"/>
      <c r="I80" s="332" t="s">
        <v>14</v>
      </c>
      <c r="J80" s="332" t="s">
        <v>14</v>
      </c>
    </row>
    <row r="81" spans="2:10">
      <c r="C81" s="315" t="s">
        <v>366</v>
      </c>
      <c r="D81" s="315"/>
      <c r="E81" s="315"/>
      <c r="F81" s="314"/>
      <c r="G81" s="314"/>
      <c r="H81" s="314"/>
      <c r="I81" s="332" t="s">
        <v>14</v>
      </c>
      <c r="J81" s="332" t="s">
        <v>14</v>
      </c>
    </row>
    <row r="82" spans="2:10">
      <c r="C82" s="2" t="s">
        <v>367</v>
      </c>
      <c r="D82" s="2"/>
      <c r="E82" s="2"/>
      <c r="F82" s="312"/>
      <c r="G82" s="312"/>
      <c r="H82" s="312"/>
      <c r="I82" s="534"/>
      <c r="J82" s="534"/>
    </row>
    <row r="83" spans="2:10">
      <c r="C83" s="312" t="s">
        <v>368</v>
      </c>
      <c r="D83" s="312"/>
      <c r="E83" s="312"/>
      <c r="F83" s="312"/>
      <c r="G83" s="312"/>
      <c r="H83" s="312"/>
      <c r="I83" s="332" t="s">
        <v>14</v>
      </c>
      <c r="J83" s="332" t="s">
        <v>14</v>
      </c>
    </row>
    <row r="84" spans="2:10">
      <c r="C84" s="312" t="s">
        <v>369</v>
      </c>
      <c r="D84" s="312"/>
      <c r="E84" s="312"/>
      <c r="F84" s="312"/>
      <c r="G84" s="312"/>
      <c r="H84" s="312"/>
      <c r="I84" s="329" t="s">
        <v>616</v>
      </c>
      <c r="J84" s="332" t="s">
        <v>14</v>
      </c>
    </row>
    <row r="85" spans="2:10">
      <c r="C85" s="312" t="s">
        <v>370</v>
      </c>
      <c r="D85" s="312"/>
      <c r="E85" s="312"/>
      <c r="F85" s="312"/>
      <c r="G85" s="312"/>
      <c r="H85" s="312"/>
      <c r="I85" s="332" t="s">
        <v>14</v>
      </c>
      <c r="J85" s="332" t="s">
        <v>14</v>
      </c>
    </row>
    <row r="86" spans="2:10">
      <c r="C86" s="2" t="s">
        <v>371</v>
      </c>
      <c r="D86" s="2"/>
      <c r="E86" s="2"/>
      <c r="F86" s="312"/>
      <c r="G86" s="312"/>
      <c r="H86" s="312"/>
      <c r="I86" s="332" t="s">
        <v>14</v>
      </c>
      <c r="J86" s="332" t="s">
        <v>14</v>
      </c>
    </row>
    <row r="87" spans="2:10">
      <c r="C87" s="2" t="s">
        <v>372</v>
      </c>
      <c r="D87" s="2"/>
      <c r="E87" s="2"/>
      <c r="F87" s="312"/>
      <c r="G87" s="312"/>
      <c r="H87" s="312"/>
      <c r="I87" s="332" t="s">
        <v>14</v>
      </c>
      <c r="J87" s="332" t="s">
        <v>14</v>
      </c>
    </row>
    <row r="88" spans="2:10">
      <c r="C88" s="2" t="s">
        <v>373</v>
      </c>
      <c r="D88" s="2"/>
      <c r="E88" s="2"/>
      <c r="F88" s="312"/>
      <c r="G88" s="312"/>
      <c r="H88" s="312"/>
      <c r="I88" s="332" t="s">
        <v>14</v>
      </c>
      <c r="J88" s="332" t="s">
        <v>14</v>
      </c>
    </row>
    <row r="89" spans="2:10">
      <c r="C89" s="2" t="s">
        <v>374</v>
      </c>
      <c r="D89" s="2"/>
      <c r="E89" s="2"/>
      <c r="F89" s="312"/>
      <c r="G89" s="312"/>
      <c r="H89" s="312"/>
      <c r="I89" s="332" t="s">
        <v>14</v>
      </c>
      <c r="J89" s="332" t="s">
        <v>14</v>
      </c>
    </row>
    <row r="90" spans="2:10">
      <c r="C90" s="2" t="s">
        <v>375</v>
      </c>
      <c r="D90" s="2"/>
      <c r="E90" s="2"/>
      <c r="F90" s="312"/>
      <c r="G90" s="312"/>
      <c r="H90" s="312"/>
      <c r="I90" s="332" t="s">
        <v>14</v>
      </c>
      <c r="J90" s="332" t="s">
        <v>14</v>
      </c>
    </row>
    <row r="91" spans="2:10">
      <c r="C91" s="2" t="s">
        <v>376</v>
      </c>
      <c r="D91" s="2"/>
      <c r="E91" s="2"/>
      <c r="F91" s="312"/>
      <c r="G91" s="312"/>
      <c r="H91" s="312"/>
      <c r="I91" s="332" t="s">
        <v>14</v>
      </c>
      <c r="J91" s="332" t="s">
        <v>14</v>
      </c>
    </row>
    <row r="92" spans="2:10">
      <c r="C92" s="308" t="s">
        <v>377</v>
      </c>
      <c r="D92" s="308"/>
      <c r="E92" s="308"/>
      <c r="F92" s="312"/>
      <c r="G92" s="312"/>
      <c r="H92" s="312"/>
      <c r="I92" s="364" t="s">
        <v>14</v>
      </c>
      <c r="J92" s="364" t="s">
        <v>14</v>
      </c>
    </row>
    <row r="93" spans="2:10">
      <c r="C93" s="2"/>
      <c r="D93" s="2"/>
      <c r="E93" s="2"/>
      <c r="F93" s="312"/>
      <c r="G93" s="312"/>
      <c r="H93" s="312"/>
      <c r="I93" s="331"/>
      <c r="J93" s="331"/>
    </row>
    <row r="94" spans="2:10">
      <c r="B94" s="309" t="s">
        <v>378</v>
      </c>
      <c r="C94" s="308"/>
      <c r="D94" s="308"/>
      <c r="E94" s="308"/>
      <c r="F94" s="313"/>
      <c r="G94" s="313"/>
      <c r="H94" s="313"/>
      <c r="I94" s="364" t="s">
        <v>14</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14</v>
      </c>
      <c r="J99" s="332" t="s">
        <v>14</v>
      </c>
    </row>
    <row r="100" spans="2:10">
      <c r="C100" s="2" t="s">
        <v>381</v>
      </c>
      <c r="D100" s="2"/>
      <c r="E100" s="2"/>
      <c r="F100" s="312"/>
      <c r="G100" s="312"/>
      <c r="H100" s="312"/>
      <c r="I100" s="332" t="s">
        <v>14</v>
      </c>
      <c r="J100" s="332" t="s">
        <v>14</v>
      </c>
    </row>
    <row r="101" spans="2:10">
      <c r="C101" s="2" t="s">
        <v>382</v>
      </c>
      <c r="D101" s="2"/>
      <c r="E101" s="2"/>
      <c r="F101" s="312"/>
      <c r="G101" s="312"/>
      <c r="H101" s="312"/>
      <c r="I101" s="332" t="s">
        <v>14</v>
      </c>
      <c r="J101" s="332" t="s">
        <v>14</v>
      </c>
    </row>
    <row r="102" spans="2:10">
      <c r="C102" s="308" t="s">
        <v>534</v>
      </c>
      <c r="D102" s="2"/>
      <c r="E102" s="2"/>
      <c r="F102" s="312"/>
      <c r="G102" s="312"/>
      <c r="H102" s="312"/>
      <c r="I102" s="364" t="s">
        <v>14</v>
      </c>
      <c r="J102" s="364" t="s">
        <v>14</v>
      </c>
    </row>
    <row r="103" spans="2:10">
      <c r="C103" s="2" t="s">
        <v>524</v>
      </c>
      <c r="D103" s="2"/>
      <c r="E103" s="2"/>
      <c r="F103" s="312"/>
      <c r="G103" s="312"/>
      <c r="H103" s="312"/>
      <c r="I103" s="332" t="s">
        <v>14</v>
      </c>
      <c r="J103" s="332" t="s">
        <v>14</v>
      </c>
    </row>
    <row r="104" spans="2:10">
      <c r="C104" s="2" t="s">
        <v>383</v>
      </c>
      <c r="D104" s="2"/>
      <c r="E104" s="2"/>
      <c r="F104" s="312"/>
      <c r="G104" s="312"/>
      <c r="H104" s="312"/>
      <c r="I104" s="332" t="s">
        <v>14</v>
      </c>
      <c r="J104" s="332" t="s">
        <v>14</v>
      </c>
    </row>
    <row r="105" spans="2:10">
      <c r="C105" s="2" t="s">
        <v>384</v>
      </c>
      <c r="D105" s="2"/>
      <c r="E105" s="2"/>
      <c r="F105" s="312"/>
      <c r="G105" s="312"/>
      <c r="H105" s="312"/>
      <c r="I105" s="332" t="s">
        <v>14</v>
      </c>
      <c r="J105" s="332" t="s">
        <v>14</v>
      </c>
    </row>
    <row r="106" spans="2:10">
      <c r="C106" s="2" t="s">
        <v>544</v>
      </c>
      <c r="D106" s="2"/>
      <c r="E106" s="2"/>
      <c r="F106" s="312"/>
      <c r="G106" s="312"/>
      <c r="H106" s="312"/>
      <c r="I106" s="332">
        <v>41029</v>
      </c>
      <c r="J106" s="332" t="s">
        <v>14</v>
      </c>
    </row>
    <row r="107" spans="2:10">
      <c r="C107" s="2" t="s">
        <v>385</v>
      </c>
      <c r="D107" s="2"/>
      <c r="E107" s="2"/>
      <c r="F107" s="312"/>
      <c r="G107" s="312"/>
      <c r="H107" s="312"/>
      <c r="I107" s="332" t="s">
        <v>14</v>
      </c>
      <c r="J107" s="332" t="s">
        <v>14</v>
      </c>
    </row>
    <row r="108" spans="2:10">
      <c r="C108" s="2" t="s">
        <v>386</v>
      </c>
      <c r="D108" s="2"/>
      <c r="E108" s="2"/>
      <c r="F108" s="312"/>
      <c r="G108" s="312"/>
      <c r="H108" s="312"/>
      <c r="I108" s="332" t="s">
        <v>14</v>
      </c>
      <c r="J108" s="332" t="s">
        <v>14</v>
      </c>
    </row>
    <row r="109" spans="2:10">
      <c r="C109" s="2" t="s">
        <v>523</v>
      </c>
      <c r="D109" s="2"/>
      <c r="E109" s="2"/>
      <c r="F109" s="312"/>
      <c r="G109" s="312"/>
      <c r="H109" s="312"/>
      <c r="I109" s="332" t="s">
        <v>14</v>
      </c>
      <c r="J109" s="332" t="s">
        <v>14</v>
      </c>
    </row>
    <row r="110" spans="2:10">
      <c r="C110" s="308" t="s">
        <v>526</v>
      </c>
      <c r="D110" s="2"/>
      <c r="E110" s="2"/>
      <c r="F110" s="312"/>
      <c r="G110" s="312"/>
      <c r="H110" s="312"/>
      <c r="I110" s="364" t="s">
        <v>14</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t="s">
        <v>14</v>
      </c>
      <c r="J115" s="332" t="s">
        <v>14</v>
      </c>
    </row>
    <row r="116" spans="3:10">
      <c r="C116" s="315" t="s">
        <v>342</v>
      </c>
      <c r="D116" s="315"/>
      <c r="E116" s="315"/>
      <c r="F116" s="315"/>
      <c r="G116" s="315"/>
      <c r="H116" s="315"/>
      <c r="I116" s="332" t="s">
        <v>14</v>
      </c>
      <c r="J116" s="332" t="s">
        <v>14</v>
      </c>
    </row>
    <row r="117" spans="3:10">
      <c r="C117" s="315" t="s">
        <v>390</v>
      </c>
      <c r="D117" s="315"/>
      <c r="E117" s="315"/>
      <c r="F117" s="315"/>
      <c r="G117" s="315"/>
      <c r="H117" s="315"/>
      <c r="I117" s="332" t="s">
        <v>14</v>
      </c>
      <c r="J117" s="332" t="s">
        <v>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t="s">
        <v>14</v>
      </c>
      <c r="J120" s="332" t="s">
        <v>14</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534"/>
      <c r="J123" s="534"/>
    </row>
    <row r="124" spans="3:10">
      <c r="C124" s="315" t="s">
        <v>392</v>
      </c>
      <c r="D124" s="315"/>
      <c r="E124" s="315"/>
      <c r="F124" s="315"/>
      <c r="G124" s="315"/>
      <c r="H124" s="315"/>
      <c r="I124" s="329" t="s">
        <v>14</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534"/>
      <c r="J128" s="534"/>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t="s">
        <v>14</v>
      </c>
      <c r="J134" s="332" t="s">
        <v>14</v>
      </c>
    </row>
    <row r="135" spans="2:10">
      <c r="C135" s="2" t="s">
        <v>398</v>
      </c>
      <c r="D135" s="2"/>
      <c r="E135" s="2"/>
      <c r="F135" s="312"/>
      <c r="G135" s="312"/>
      <c r="H135" s="312"/>
      <c r="I135" s="332" t="s">
        <v>14</v>
      </c>
      <c r="J135" s="332" t="s">
        <v>14</v>
      </c>
    </row>
    <row r="136" spans="2:10">
      <c r="C136" s="2" t="s">
        <v>399</v>
      </c>
      <c r="D136" s="2"/>
      <c r="E136" s="2"/>
      <c r="F136" s="312"/>
      <c r="G136" s="312"/>
      <c r="H136" s="312"/>
      <c r="I136" s="541"/>
      <c r="J136" s="541"/>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332" t="s">
        <v>14</v>
      </c>
      <c r="J139" s="332" t="s">
        <v>14</v>
      </c>
    </row>
    <row r="140" spans="2:10">
      <c r="C140" s="2" t="s">
        <v>402</v>
      </c>
      <c r="D140" s="2"/>
      <c r="E140" s="2"/>
      <c r="F140" s="312"/>
      <c r="G140" s="312"/>
      <c r="H140" s="312"/>
      <c r="I140" s="541"/>
      <c r="J140" s="541"/>
    </row>
    <row r="141" spans="2:10">
      <c r="C141" s="312" t="s">
        <v>403</v>
      </c>
      <c r="D141" s="312"/>
      <c r="E141" s="312"/>
      <c r="F141" s="312"/>
      <c r="G141" s="312"/>
      <c r="H141" s="312"/>
      <c r="I141" s="332" t="s">
        <v>14</v>
      </c>
      <c r="J141" s="332" t="s">
        <v>14</v>
      </c>
    </row>
    <row r="142" spans="2:10">
      <c r="C142" s="312" t="s">
        <v>404</v>
      </c>
      <c r="D142" s="312"/>
      <c r="E142" s="312"/>
      <c r="F142" s="312"/>
      <c r="G142" s="312"/>
      <c r="H142" s="312"/>
      <c r="I142" s="332" t="s">
        <v>14</v>
      </c>
      <c r="J142" s="332" t="s">
        <v>14</v>
      </c>
    </row>
    <row r="143" spans="2:10">
      <c r="C143" s="312" t="s">
        <v>405</v>
      </c>
      <c r="D143" s="312"/>
      <c r="E143" s="312"/>
      <c r="F143" s="312"/>
      <c r="G143" s="312"/>
      <c r="H143" s="312"/>
      <c r="I143" s="332" t="s">
        <v>14</v>
      </c>
      <c r="J143" s="332" t="s">
        <v>14</v>
      </c>
    </row>
    <row r="144" spans="2:10">
      <c r="C144" s="2" t="s">
        <v>406</v>
      </c>
      <c r="D144" s="2"/>
      <c r="E144" s="2"/>
      <c r="F144" s="312"/>
      <c r="G144" s="312"/>
      <c r="H144" s="312"/>
      <c r="I144" s="332" t="s">
        <v>14</v>
      </c>
      <c r="J144" s="332" t="s">
        <v>14</v>
      </c>
    </row>
    <row r="145" spans="3:10">
      <c r="C145" s="2" t="s">
        <v>407</v>
      </c>
      <c r="D145" s="2"/>
      <c r="E145" s="2"/>
      <c r="F145" s="312"/>
      <c r="G145" s="312"/>
      <c r="H145" s="312"/>
      <c r="I145" s="337"/>
      <c r="J145" s="337"/>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7"/>
      <c r="J148" s="337"/>
    </row>
    <row r="149" spans="3:10">
      <c r="C149" s="312" t="s">
        <v>411</v>
      </c>
      <c r="D149" s="312"/>
      <c r="E149" s="312"/>
      <c r="F149" s="312"/>
      <c r="G149" s="312"/>
      <c r="H149" s="312"/>
      <c r="I149" s="332" t="s">
        <v>14</v>
      </c>
      <c r="J149" s="332" t="s">
        <v>14</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7"/>
      <c r="J154" s="337"/>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7"/>
      <c r="J156" s="337"/>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7"/>
      <c r="J162" s="337"/>
    </row>
    <row r="163" spans="3:10">
      <c r="C163" s="312" t="s">
        <v>425</v>
      </c>
      <c r="D163" s="312"/>
      <c r="E163" s="312"/>
      <c r="F163" s="312"/>
      <c r="G163" s="312"/>
      <c r="H163" s="312"/>
      <c r="I163" s="332" t="s">
        <v>14</v>
      </c>
      <c r="J163" s="332" t="s">
        <v>14</v>
      </c>
    </row>
    <row r="164" spans="3:10">
      <c r="C164" s="312" t="s">
        <v>426</v>
      </c>
      <c r="D164" s="312"/>
      <c r="E164" s="312"/>
      <c r="F164" s="312"/>
      <c r="G164" s="312"/>
      <c r="H164" s="312"/>
      <c r="I164" s="332" t="s">
        <v>14</v>
      </c>
      <c r="J164" s="332" t="s">
        <v>14</v>
      </c>
    </row>
    <row r="165" spans="3:10">
      <c r="C165" s="315" t="s">
        <v>427</v>
      </c>
      <c r="D165" s="315"/>
      <c r="E165" s="315"/>
      <c r="F165" s="315"/>
      <c r="G165" s="315"/>
      <c r="H165" s="315"/>
      <c r="I165" s="332" t="s">
        <v>14</v>
      </c>
      <c r="J165" s="332" t="s">
        <v>14</v>
      </c>
    </row>
    <row r="166" spans="3:10">
      <c r="C166" s="315" t="s">
        <v>428</v>
      </c>
      <c r="D166" s="315"/>
      <c r="E166" s="315"/>
      <c r="F166" s="315"/>
      <c r="G166" s="315"/>
      <c r="H166" s="315"/>
      <c r="I166" s="332" t="s">
        <v>14</v>
      </c>
      <c r="J166" s="332" t="s">
        <v>14</v>
      </c>
    </row>
    <row r="167" spans="3:10">
      <c r="C167" s="312" t="s">
        <v>429</v>
      </c>
      <c r="D167" s="312"/>
      <c r="E167" s="312"/>
      <c r="F167" s="312"/>
      <c r="G167" s="312"/>
      <c r="H167" s="312"/>
      <c r="I167" s="337"/>
      <c r="J167" s="337"/>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7"/>
      <c r="J170" s="337"/>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7"/>
      <c r="J173" s="337"/>
    </row>
    <row r="174" spans="3:10">
      <c r="C174" s="315" t="s">
        <v>432</v>
      </c>
      <c r="D174" s="315"/>
      <c r="E174" s="315"/>
      <c r="F174" s="315"/>
      <c r="G174" s="315"/>
      <c r="H174" s="315"/>
      <c r="I174" s="332" t="s">
        <v>14</v>
      </c>
      <c r="J174" s="332" t="s">
        <v>14</v>
      </c>
    </row>
    <row r="175" spans="3:10">
      <c r="C175" s="315" t="s">
        <v>433</v>
      </c>
      <c r="D175" s="315"/>
      <c r="E175" s="315"/>
      <c r="F175" s="315"/>
      <c r="G175" s="315"/>
      <c r="H175" s="315"/>
      <c r="I175" s="332" t="s">
        <v>14</v>
      </c>
      <c r="J175" s="332" t="s">
        <v>14</v>
      </c>
    </row>
    <row r="176" spans="3:10">
      <c r="C176" s="315" t="s">
        <v>434</v>
      </c>
      <c r="D176" s="315"/>
      <c r="E176" s="315"/>
      <c r="F176" s="315"/>
      <c r="G176" s="315"/>
      <c r="H176" s="315"/>
      <c r="I176" s="332" t="s">
        <v>14</v>
      </c>
      <c r="J176" s="332" t="s">
        <v>14</v>
      </c>
    </row>
    <row r="177" spans="3:10">
      <c r="C177" s="315" t="s">
        <v>435</v>
      </c>
      <c r="D177" s="315"/>
      <c r="E177" s="315"/>
      <c r="F177" s="315"/>
      <c r="G177" s="315"/>
      <c r="H177" s="315"/>
      <c r="I177" s="332" t="s">
        <v>14</v>
      </c>
      <c r="J177" s="332" t="s">
        <v>14</v>
      </c>
    </row>
    <row r="178" spans="3:10">
      <c r="C178" s="310" t="s">
        <v>422</v>
      </c>
      <c r="D178" s="310"/>
      <c r="E178" s="310"/>
      <c r="F178" s="312"/>
      <c r="G178" s="312"/>
      <c r="H178" s="312"/>
      <c r="I178" s="337"/>
      <c r="J178" s="337"/>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7"/>
      <c r="J187" s="337"/>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7"/>
      <c r="J193" s="337"/>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7"/>
      <c r="J210" s="337"/>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v>41274</v>
      </c>
      <c r="J225" s="364" t="s">
        <v>14</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332" t="s">
        <v>14</v>
      </c>
    </row>
    <row r="231" spans="2:10">
      <c r="C231" s="312" t="s">
        <v>477</v>
      </c>
      <c r="D231" s="312"/>
      <c r="E231" s="312"/>
      <c r="F231" s="312"/>
      <c r="G231" s="312"/>
      <c r="H231" s="312"/>
      <c r="I231" s="332" t="s">
        <v>14</v>
      </c>
      <c r="J231" s="332" t="s">
        <v>14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v>41289</v>
      </c>
      <c r="J235" s="364" t="s">
        <v>14</v>
      </c>
    </row>
    <row r="236" spans="2:10">
      <c r="C236" s="308" t="s">
        <v>480</v>
      </c>
      <c r="D236" s="2"/>
      <c r="E236" s="2"/>
      <c r="F236" s="312"/>
      <c r="G236" s="312"/>
      <c r="H236" s="312"/>
      <c r="I236" s="332" t="s">
        <v>14</v>
      </c>
      <c r="J236" s="332" t="s">
        <v>14</v>
      </c>
    </row>
    <row r="237" spans="2:10">
      <c r="C237" s="2" t="s">
        <v>481</v>
      </c>
      <c r="D237" s="2"/>
      <c r="E237" s="2"/>
      <c r="F237" s="312"/>
      <c r="G237" s="312"/>
      <c r="H237" s="312"/>
      <c r="I237" s="364" t="s">
        <v>14</v>
      </c>
      <c r="J237" s="364" t="s">
        <v>14</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14</v>
      </c>
      <c r="J253" s="332" t="s">
        <v>14</v>
      </c>
    </row>
    <row r="254" spans="2:10">
      <c r="C254" s="308" t="s">
        <v>539</v>
      </c>
      <c r="D254" s="2"/>
      <c r="E254" s="2"/>
      <c r="F254" s="312"/>
      <c r="G254" s="312"/>
      <c r="H254" s="312"/>
      <c r="I254" s="364" t="s">
        <v>14</v>
      </c>
      <c r="J254" s="364" t="s">
        <v>14</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14</v>
      </c>
      <c r="J267" s="332" t="s">
        <v>14</v>
      </c>
    </row>
    <row r="268" spans="2:10">
      <c r="C268" s="312" t="s">
        <v>495</v>
      </c>
      <c r="D268" s="312"/>
      <c r="E268" s="312"/>
      <c r="F268" s="312"/>
      <c r="G268" s="312"/>
      <c r="H268" s="312"/>
      <c r="I268" s="332" t="s">
        <v>14</v>
      </c>
      <c r="J268" s="332" t="s">
        <v>14</v>
      </c>
    </row>
    <row r="269" spans="2:10">
      <c r="C269" s="312" t="s">
        <v>496</v>
      </c>
      <c r="D269" s="312"/>
      <c r="E269" s="312"/>
      <c r="F269" s="312"/>
      <c r="G269" s="312"/>
      <c r="H269" s="312"/>
      <c r="I269" s="332" t="s">
        <v>14</v>
      </c>
      <c r="J269" s="332" t="s">
        <v>14</v>
      </c>
    </row>
    <row r="270" spans="2:10">
      <c r="C270" s="312" t="s">
        <v>497</v>
      </c>
      <c r="D270" s="312"/>
      <c r="E270" s="312"/>
      <c r="F270" s="312"/>
      <c r="G270" s="312"/>
      <c r="H270" s="312"/>
      <c r="I270" s="332" t="s">
        <v>14</v>
      </c>
      <c r="J270" s="332" t="s">
        <v>14</v>
      </c>
    </row>
    <row r="271" spans="2:10">
      <c r="C271" s="312" t="s">
        <v>498</v>
      </c>
      <c r="D271" s="312"/>
      <c r="E271" s="312"/>
      <c r="F271" s="312"/>
      <c r="G271" s="312"/>
      <c r="H271" s="312"/>
      <c r="I271" s="332" t="s">
        <v>14</v>
      </c>
      <c r="J271" s="332" t="s">
        <v>14</v>
      </c>
    </row>
    <row r="272" spans="2:10">
      <c r="C272" s="312" t="s">
        <v>499</v>
      </c>
      <c r="D272" s="312"/>
      <c r="E272" s="312"/>
      <c r="F272" s="312"/>
      <c r="G272" s="312"/>
      <c r="H272" s="312"/>
      <c r="I272" s="332" t="s">
        <v>14</v>
      </c>
      <c r="J272" s="332" t="s">
        <v>14</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I291" s="2"/>
      <c r="J291" s="7"/>
      <c r="K291" s="2"/>
      <c r="L291" s="2"/>
      <c r="M291" s="301"/>
      <c r="N291" s="2"/>
      <c r="O291" s="301"/>
    </row>
  </sheetData>
  <sheetProtection selectLockedCells="1"/>
  <mergeCells count="109">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39:D39"/>
    <mergeCell ref="H39:M39"/>
    <mergeCell ref="C40:D40"/>
    <mergeCell ref="H40:M40"/>
    <mergeCell ref="C41:D41"/>
    <mergeCell ref="H41:M41"/>
    <mergeCell ref="C24:D24"/>
    <mergeCell ref="F24:G24"/>
    <mergeCell ref="K24:M24"/>
    <mergeCell ref="C27:M34"/>
    <mergeCell ref="H37:M37"/>
    <mergeCell ref="C38:D38"/>
    <mergeCell ref="H38:M38"/>
    <mergeCell ref="C45:D45"/>
    <mergeCell ref="H45:M45"/>
    <mergeCell ref="C46:D46"/>
    <mergeCell ref="H46:M46"/>
    <mergeCell ref="C47:D47"/>
    <mergeCell ref="H47:M47"/>
    <mergeCell ref="C42:D42"/>
    <mergeCell ref="H42:M42"/>
    <mergeCell ref="C43:D43"/>
    <mergeCell ref="H43:M43"/>
    <mergeCell ref="C44:D44"/>
    <mergeCell ref="H44:M44"/>
    <mergeCell ref="C51:D51"/>
    <mergeCell ref="H51:M51"/>
    <mergeCell ref="C52:D52"/>
    <mergeCell ref="H52:M52"/>
    <mergeCell ref="C53:D53"/>
    <mergeCell ref="H53:M53"/>
    <mergeCell ref="C48:D48"/>
    <mergeCell ref="H48:M48"/>
    <mergeCell ref="C49:D49"/>
    <mergeCell ref="H49:M49"/>
    <mergeCell ref="C50:D50"/>
    <mergeCell ref="H50:M50"/>
    <mergeCell ref="I65:J65"/>
    <mergeCell ref="C57:D57"/>
    <mergeCell ref="H57:M57"/>
    <mergeCell ref="C58:D58"/>
    <mergeCell ref="H58:M58"/>
    <mergeCell ref="I63:J63"/>
    <mergeCell ref="I64:J64"/>
    <mergeCell ref="C54:D54"/>
    <mergeCell ref="H54:M54"/>
    <mergeCell ref="C55:D55"/>
    <mergeCell ref="H55:M55"/>
    <mergeCell ref="C56:D56"/>
    <mergeCell ref="H56:M56"/>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6">
    <tabColor rgb="FF00B0F0"/>
  </sheetPr>
  <dimension ref="B1:U291"/>
  <sheetViews>
    <sheetView topLeftCell="A9" workbookViewId="0">
      <selection activeCell="L12" sqref="L12:M12"/>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Detail!A39</f>
        <v>Kankakee</v>
      </c>
      <c r="D2" s="341"/>
      <c r="E2" s="341"/>
      <c r="F2" s="120"/>
      <c r="G2" s="120"/>
      <c r="H2" s="120"/>
      <c r="I2" s="120"/>
      <c r="J2" s="120"/>
      <c r="K2" s="120"/>
      <c r="L2" s="120"/>
      <c r="M2" s="121"/>
      <c r="N2" s="319"/>
    </row>
    <row r="3" spans="2:21" s="122" customFormat="1" ht="20.25" customHeight="1" thickBot="1">
      <c r="B3" s="319"/>
      <c r="C3" s="136" t="str">
        <f>Detail!B39</f>
        <v>L Reyes</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Detail!V39</f>
        <v>Senior</v>
      </c>
      <c r="G6" s="836"/>
      <c r="H6" s="357"/>
      <c r="I6" s="833" t="s">
        <v>219</v>
      </c>
      <c r="J6" s="834"/>
      <c r="K6" s="834"/>
      <c r="L6" s="837" t="str">
        <f>Detail!I39</f>
        <v>LIHTC - 9%</v>
      </c>
      <c r="M6" s="838"/>
      <c r="N6" s="318"/>
    </row>
    <row r="7" spans="2:21" ht="17.25" customHeight="1">
      <c r="B7" s="318"/>
      <c r="C7" s="796" t="s">
        <v>214</v>
      </c>
      <c r="D7" s="797"/>
      <c r="E7" s="352"/>
      <c r="F7" s="819" t="str">
        <f>Detail!C39</f>
        <v>Kankakee</v>
      </c>
      <c r="G7" s="820"/>
      <c r="H7" s="357"/>
      <c r="I7" s="796" t="s">
        <v>183</v>
      </c>
      <c r="J7" s="797"/>
      <c r="K7" s="797"/>
      <c r="L7" s="830" t="str">
        <f>Detail!J39</f>
        <v>TBD</v>
      </c>
      <c r="M7" s="831"/>
      <c r="N7" s="318"/>
    </row>
    <row r="8" spans="2:21">
      <c r="B8" s="318"/>
      <c r="C8" s="796" t="s">
        <v>9</v>
      </c>
      <c r="D8" s="797"/>
      <c r="E8" s="352"/>
      <c r="F8" s="819" t="str">
        <f>Detail!D39</f>
        <v>New Construction</v>
      </c>
      <c r="G8" s="820"/>
      <c r="H8" s="357"/>
      <c r="I8" s="796" t="s">
        <v>184</v>
      </c>
      <c r="J8" s="797"/>
      <c r="K8" s="797"/>
      <c r="L8" s="830" t="str">
        <f>Detail!K39</f>
        <v>TBD</v>
      </c>
      <c r="M8" s="831"/>
      <c r="N8" s="318"/>
    </row>
    <row r="9" spans="2:21">
      <c r="B9" s="318"/>
      <c r="C9" s="796" t="s">
        <v>215</v>
      </c>
      <c r="D9" s="797"/>
      <c r="E9" s="353"/>
      <c r="F9" s="832">
        <f>Detail!T39</f>
        <v>70</v>
      </c>
      <c r="G9" s="820"/>
      <c r="H9" s="357"/>
      <c r="I9" s="796" t="s">
        <v>185</v>
      </c>
      <c r="J9" s="797"/>
      <c r="K9" s="797"/>
      <c r="L9" s="830" t="str">
        <f>Detail!L39</f>
        <v>TBD</v>
      </c>
      <c r="M9" s="831"/>
      <c r="N9" s="318"/>
    </row>
    <row r="10" spans="2:21" ht="17.25" customHeight="1">
      <c r="B10" s="318"/>
      <c r="C10" s="796" t="s">
        <v>216</v>
      </c>
      <c r="D10" s="797"/>
      <c r="E10" s="352"/>
      <c r="F10" s="819" t="str">
        <f>Detail!V39</f>
        <v>Senior</v>
      </c>
      <c r="G10" s="820"/>
      <c r="H10" s="357"/>
      <c r="I10" s="796" t="s">
        <v>44</v>
      </c>
      <c r="J10" s="797"/>
      <c r="K10" s="797"/>
      <c r="L10" s="800">
        <f>Detail!AB39</f>
        <v>18900000</v>
      </c>
      <c r="M10" s="801"/>
      <c r="N10" s="318"/>
    </row>
    <row r="11" spans="2:21" ht="32.25" customHeight="1">
      <c r="B11" s="318"/>
      <c r="C11" s="361"/>
      <c r="D11" s="362"/>
      <c r="E11" s="352"/>
      <c r="F11" s="819" t="str">
        <f>Detail!W39</f>
        <v>Senior - Independent</v>
      </c>
      <c r="G11" s="820"/>
      <c r="H11" s="357"/>
      <c r="I11" s="796" t="s">
        <v>602</v>
      </c>
      <c r="J11" s="797"/>
      <c r="K11" s="530"/>
      <c r="L11" s="828" t="str">
        <f>Detail!AG39</f>
        <v>Enterprise/ Fifth Third</v>
      </c>
      <c r="M11" s="829"/>
      <c r="N11" s="318"/>
    </row>
    <row r="12" spans="2:21">
      <c r="B12" s="318"/>
      <c r="C12" s="361"/>
      <c r="D12" s="362"/>
      <c r="E12" s="352"/>
      <c r="F12" s="819">
        <f>Detail!X39</f>
        <v>0</v>
      </c>
      <c r="G12" s="820"/>
      <c r="H12" s="357"/>
      <c r="I12" s="796" t="s">
        <v>603</v>
      </c>
      <c r="J12" s="797"/>
      <c r="K12" s="797"/>
      <c r="L12" s="828" t="str">
        <f>Detail!N39</f>
        <v>TBD</v>
      </c>
      <c r="M12" s="829"/>
      <c r="N12" s="318"/>
    </row>
    <row r="13" spans="2:21" ht="17.25" customHeight="1">
      <c r="B13" s="318"/>
      <c r="C13" s="796" t="s">
        <v>525</v>
      </c>
      <c r="D13" s="797"/>
      <c r="E13" s="354"/>
      <c r="F13" s="827" t="str">
        <f>Detail!AM39</f>
        <v>MHMG</v>
      </c>
      <c r="G13" s="820"/>
      <c r="H13" s="357"/>
      <c r="I13" s="796" t="s">
        <v>256</v>
      </c>
      <c r="J13" s="797"/>
      <c r="K13" s="797"/>
      <c r="L13" s="800">
        <f>Detail!AC39</f>
        <v>18000156</v>
      </c>
      <c r="M13" s="801"/>
      <c r="N13" s="318"/>
    </row>
    <row r="14" spans="2:21" ht="35.25" customHeight="1">
      <c r="B14" s="318"/>
      <c r="C14" s="796" t="s">
        <v>172</v>
      </c>
      <c r="D14" s="797"/>
      <c r="E14" s="352"/>
      <c r="F14" s="819" t="str">
        <f>Detail!Z39</f>
        <v>Service Coordination</v>
      </c>
      <c r="G14" s="820"/>
      <c r="H14" s="357"/>
      <c r="I14" s="796" t="s">
        <v>257</v>
      </c>
      <c r="J14" s="797"/>
      <c r="K14" s="797"/>
      <c r="L14" s="800">
        <f>Detail!AF39</f>
        <v>16558343.504400002</v>
      </c>
      <c r="M14" s="801"/>
      <c r="N14" s="318"/>
    </row>
    <row r="15" spans="2:21" ht="17.25" customHeight="1" thickBot="1">
      <c r="B15" s="318"/>
      <c r="C15" s="796" t="s">
        <v>217</v>
      </c>
      <c r="D15" s="797"/>
      <c r="E15" s="355"/>
      <c r="F15" s="819" t="str">
        <f>Detail!AA39</f>
        <v>TBD</v>
      </c>
      <c r="G15" s="820"/>
      <c r="H15" s="357"/>
      <c r="I15" s="821" t="s">
        <v>255</v>
      </c>
      <c r="J15" s="822"/>
      <c r="K15" s="822"/>
      <c r="L15" s="823">
        <f>Detail!AD39</f>
        <v>1800015.6</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Detail!AH39</f>
        <v>1743353</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Detail!AJ39</f>
        <v>1256980</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Detail!AI39</f>
        <v>486373</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6" thickTop="1">
      <c r="B21" s="320"/>
      <c r="C21" s="804" t="s">
        <v>46</v>
      </c>
      <c r="D21" s="805"/>
      <c r="E21" s="349"/>
      <c r="F21" s="806" t="str">
        <f>Detail!F39</f>
        <v>Development</v>
      </c>
      <c r="G21" s="807"/>
      <c r="H21" s="359"/>
      <c r="I21" s="804" t="s">
        <v>226</v>
      </c>
      <c r="J21" s="805"/>
      <c r="K21" s="805"/>
      <c r="L21" s="808">
        <f>Detail!Q39</f>
        <v>0</v>
      </c>
      <c r="M21" s="809"/>
      <c r="N21" s="320"/>
    </row>
    <row r="22" spans="2:21" s="88" customFormat="1" ht="17.25" customHeight="1">
      <c r="B22" s="320"/>
      <c r="C22" s="796" t="s">
        <v>223</v>
      </c>
      <c r="D22" s="797"/>
      <c r="E22" s="348"/>
      <c r="F22" s="798">
        <f>Detail!P39</f>
        <v>41548</v>
      </c>
      <c r="G22" s="799"/>
      <c r="H22" s="359"/>
      <c r="I22" s="796" t="s">
        <v>227</v>
      </c>
      <c r="J22" s="797"/>
      <c r="K22" s="797"/>
      <c r="L22" s="800">
        <f>Detail!AO39+Detail!AP39+Detail!AQ39+Detail!AR39</f>
        <v>0</v>
      </c>
      <c r="M22" s="801"/>
      <c r="N22" s="320"/>
    </row>
    <row r="23" spans="2:21" s="88" customFormat="1" ht="17.25" customHeight="1">
      <c r="B23" s="320"/>
      <c r="C23" s="796" t="s">
        <v>224</v>
      </c>
      <c r="D23" s="797"/>
      <c r="E23" s="348"/>
      <c r="F23" s="798">
        <f>Detail!R39</f>
        <v>41548</v>
      </c>
      <c r="G23" s="799"/>
      <c r="H23" s="359"/>
      <c r="I23" s="796" t="s">
        <v>228</v>
      </c>
      <c r="J23" s="797"/>
      <c r="K23" s="797"/>
      <c r="L23" s="800">
        <f>Detail!BG39</f>
        <v>0</v>
      </c>
      <c r="M23" s="801"/>
      <c r="N23" s="320"/>
    </row>
    <row r="24" spans="2:21" s="88" customFormat="1" ht="17.25" customHeight="1" thickBot="1">
      <c r="B24" s="320"/>
      <c r="C24" s="778" t="s">
        <v>225</v>
      </c>
      <c r="D24" s="779"/>
      <c r="E24" s="533"/>
      <c r="F24" s="780">
        <f>Detail!S39</f>
        <v>41913</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Kankakee</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c r="B38" s="322"/>
      <c r="C38" s="792" t="s">
        <v>514</v>
      </c>
      <c r="D38" s="793"/>
      <c r="E38" s="344"/>
      <c r="F38" s="368" t="str">
        <f>I92</f>
        <v>TBD</v>
      </c>
      <c r="G38" s="368" t="str">
        <f>J92</f>
        <v>TBD</v>
      </c>
      <c r="H38" s="794"/>
      <c r="I38" s="794"/>
      <c r="J38" s="794"/>
      <c r="K38" s="794"/>
      <c r="L38" s="794"/>
      <c r="M38" s="795"/>
      <c r="N38" s="322"/>
    </row>
    <row r="39" spans="2:19" s="300" customFormat="1" ht="12.75" customHeight="1">
      <c r="B39" s="322"/>
      <c r="C39" s="774" t="s">
        <v>516</v>
      </c>
      <c r="D39" s="775"/>
      <c r="E39" s="532"/>
      <c r="F39" s="368" t="str">
        <f>I94</f>
        <v>TBD</v>
      </c>
      <c r="G39" s="369" t="str">
        <f>J94</f>
        <v>TBD</v>
      </c>
      <c r="H39" s="772"/>
      <c r="I39" s="772"/>
      <c r="J39" s="772"/>
      <c r="K39" s="772"/>
      <c r="L39" s="772"/>
      <c r="M39" s="773"/>
      <c r="N39" s="322"/>
    </row>
    <row r="40" spans="2:19" s="300" customFormat="1">
      <c r="B40" s="322"/>
      <c r="C40" s="774" t="s">
        <v>344</v>
      </c>
      <c r="D40" s="775"/>
      <c r="E40" s="532"/>
      <c r="F40" s="368" t="str">
        <f>I96</f>
        <v>TBD</v>
      </c>
      <c r="G40" s="368" t="str">
        <f>J96</f>
        <v>TBD</v>
      </c>
      <c r="H40" s="772"/>
      <c r="I40" s="772"/>
      <c r="J40" s="772"/>
      <c r="K40" s="772"/>
      <c r="L40" s="772"/>
      <c r="M40" s="773"/>
      <c r="N40" s="322"/>
    </row>
    <row r="41" spans="2:19" s="300" customFormat="1" ht="12.75" customHeight="1">
      <c r="B41" s="322"/>
      <c r="C41" s="774" t="s">
        <v>535</v>
      </c>
      <c r="D41" s="775"/>
      <c r="E41" s="532"/>
      <c r="F41" s="368" t="str">
        <f>Kankakee!I102</f>
        <v>TBD</v>
      </c>
      <c r="G41" s="368" t="str">
        <f>J102</f>
        <v>TBD</v>
      </c>
      <c r="H41" s="772"/>
      <c r="I41" s="772"/>
      <c r="J41" s="772"/>
      <c r="K41" s="772"/>
      <c r="L41" s="772"/>
      <c r="M41" s="773"/>
      <c r="N41" s="322"/>
      <c r="P41" s="358"/>
      <c r="Q41" s="358"/>
      <c r="R41" s="358"/>
      <c r="S41" s="358"/>
    </row>
    <row r="42" spans="2:19" s="300" customFormat="1">
      <c r="B42" s="322"/>
      <c r="C42" s="774" t="s">
        <v>536</v>
      </c>
      <c r="D42" s="775"/>
      <c r="E42" s="532"/>
      <c r="F42" s="368" t="str">
        <f>I110</f>
        <v>TBD</v>
      </c>
      <c r="G42" s="368" t="str">
        <f>J110</f>
        <v>TBD</v>
      </c>
      <c r="H42" s="772"/>
      <c r="I42" s="772"/>
      <c r="J42" s="772"/>
      <c r="K42" s="772"/>
      <c r="L42" s="772"/>
      <c r="M42" s="773"/>
      <c r="N42" s="322"/>
      <c r="P42" s="358"/>
      <c r="Q42" s="358"/>
      <c r="R42" s="358"/>
      <c r="S42" s="358"/>
    </row>
    <row r="43" spans="2:19" s="300" customFormat="1">
      <c r="B43" s="322"/>
      <c r="C43" s="774" t="s">
        <v>517</v>
      </c>
      <c r="D43" s="775"/>
      <c r="E43" s="532"/>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32"/>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32"/>
      <c r="F45" s="368" t="str">
        <f>I200</f>
        <v>TBD</v>
      </c>
      <c r="G45" s="368" t="str">
        <f>J200</f>
        <v>TBD</v>
      </c>
      <c r="H45" s="772"/>
      <c r="I45" s="772"/>
      <c r="J45" s="772"/>
      <c r="K45" s="772"/>
      <c r="L45" s="772"/>
      <c r="M45" s="773"/>
      <c r="N45" s="322"/>
    </row>
    <row r="46" spans="2:19" s="300" customFormat="1">
      <c r="B46" s="322"/>
      <c r="C46" s="774" t="s">
        <v>538</v>
      </c>
      <c r="D46" s="775"/>
      <c r="E46" s="532"/>
      <c r="F46" s="368" t="str">
        <f>I232</f>
        <v>TBD</v>
      </c>
      <c r="G46" s="368" t="str">
        <f>J232</f>
        <v>TBD</v>
      </c>
      <c r="H46" s="772"/>
      <c r="I46" s="772"/>
      <c r="J46" s="772"/>
      <c r="K46" s="772"/>
      <c r="L46" s="772"/>
      <c r="M46" s="773"/>
      <c r="N46" s="322"/>
    </row>
    <row r="47" spans="2:19" s="300" customFormat="1">
      <c r="B47" s="322"/>
      <c r="C47" s="774" t="s">
        <v>55</v>
      </c>
      <c r="D47" s="775"/>
      <c r="E47" s="532"/>
      <c r="F47" s="368">
        <f>I225</f>
        <v>41548</v>
      </c>
      <c r="G47" s="368" t="str">
        <f>J225</f>
        <v>TBD</v>
      </c>
      <c r="H47" s="772"/>
      <c r="I47" s="772"/>
      <c r="J47" s="772"/>
      <c r="K47" s="772"/>
      <c r="L47" s="772"/>
      <c r="M47" s="773"/>
      <c r="N47" s="322"/>
    </row>
    <row r="48" spans="2:19" s="300" customFormat="1">
      <c r="B48" s="322"/>
      <c r="C48" s="774" t="s">
        <v>346</v>
      </c>
      <c r="D48" s="775"/>
      <c r="E48" s="532"/>
      <c r="F48" s="368">
        <f>I235</f>
        <v>41548</v>
      </c>
      <c r="G48" s="368" t="str">
        <f>J235</f>
        <v>TBD</v>
      </c>
      <c r="H48" s="772"/>
      <c r="I48" s="772"/>
      <c r="J48" s="772"/>
      <c r="K48" s="772"/>
      <c r="L48" s="772"/>
      <c r="M48" s="773"/>
      <c r="N48" s="322"/>
    </row>
    <row r="49" spans="2:14" s="300" customFormat="1">
      <c r="B49" s="322"/>
      <c r="C49" s="774" t="s">
        <v>347</v>
      </c>
      <c r="D49" s="775"/>
      <c r="E49" s="532"/>
      <c r="F49" s="368" t="str">
        <f>I237</f>
        <v>TBD</v>
      </c>
      <c r="G49" s="368" t="str">
        <f>J237</f>
        <v>TBD</v>
      </c>
      <c r="H49" s="772"/>
      <c r="I49" s="772"/>
      <c r="J49" s="772"/>
      <c r="K49" s="772"/>
      <c r="L49" s="772"/>
      <c r="M49" s="773"/>
      <c r="N49" s="322"/>
    </row>
    <row r="50" spans="2:14" s="300" customFormat="1">
      <c r="B50" s="322"/>
      <c r="C50" s="774" t="s">
        <v>348</v>
      </c>
      <c r="D50" s="775"/>
      <c r="E50" s="532"/>
      <c r="F50" s="368" t="str">
        <f>I254</f>
        <v>TBD</v>
      </c>
      <c r="G50" s="368" t="str">
        <f>J254</f>
        <v>TBD</v>
      </c>
      <c r="H50" s="772"/>
      <c r="I50" s="772"/>
      <c r="J50" s="772"/>
      <c r="K50" s="772"/>
      <c r="L50" s="772"/>
      <c r="M50" s="773"/>
      <c r="N50" s="322"/>
    </row>
    <row r="51" spans="2:14" s="300" customFormat="1">
      <c r="B51" s="322"/>
      <c r="C51" s="774" t="s">
        <v>65</v>
      </c>
      <c r="D51" s="775"/>
      <c r="E51" s="532"/>
      <c r="F51" s="368" t="str">
        <f>I255</f>
        <v>TBD</v>
      </c>
      <c r="G51" s="368" t="str">
        <f>J255</f>
        <v>TBD</v>
      </c>
      <c r="H51" s="772"/>
      <c r="I51" s="772"/>
      <c r="J51" s="772"/>
      <c r="K51" s="772"/>
      <c r="L51" s="772"/>
      <c r="M51" s="773"/>
      <c r="N51" s="322"/>
    </row>
    <row r="52" spans="2:14" s="300" customFormat="1">
      <c r="B52" s="322"/>
      <c r="C52" s="774" t="s">
        <v>540</v>
      </c>
      <c r="D52" s="775"/>
      <c r="E52" s="532"/>
      <c r="F52" s="368" t="str">
        <f>I273</f>
        <v>TBD</v>
      </c>
      <c r="G52" s="368" t="str">
        <f>J273</f>
        <v>TBD</v>
      </c>
      <c r="H52" s="772"/>
      <c r="I52" s="772"/>
      <c r="J52" s="772"/>
      <c r="K52" s="772"/>
      <c r="L52" s="772"/>
      <c r="M52" s="773"/>
      <c r="N52" s="322"/>
    </row>
    <row r="53" spans="2:14" s="300" customFormat="1">
      <c r="B53" s="322"/>
      <c r="C53" s="774" t="s">
        <v>542</v>
      </c>
      <c r="D53" s="775"/>
      <c r="E53" s="532"/>
      <c r="F53" s="368" t="str">
        <f>I276</f>
        <v>TBD</v>
      </c>
      <c r="G53" s="368" t="str">
        <f>J276</f>
        <v>TBD</v>
      </c>
      <c r="H53" s="772"/>
      <c r="I53" s="772"/>
      <c r="J53" s="772"/>
      <c r="K53" s="772"/>
      <c r="L53" s="772"/>
      <c r="M53" s="773"/>
      <c r="N53" s="322"/>
    </row>
    <row r="54" spans="2:14" s="300" customFormat="1">
      <c r="B54" s="322"/>
      <c r="C54" s="774">
        <v>8609</v>
      </c>
      <c r="D54" s="775"/>
      <c r="E54" s="532"/>
      <c r="F54" s="368" t="str">
        <f>I289</f>
        <v>TBD</v>
      </c>
      <c r="G54" s="368" t="str">
        <f>J289</f>
        <v>TBD</v>
      </c>
      <c r="H54" s="772"/>
      <c r="I54" s="772"/>
      <c r="J54" s="772"/>
      <c r="K54" s="772"/>
      <c r="L54" s="772"/>
      <c r="M54" s="773"/>
      <c r="N54" s="322"/>
    </row>
    <row r="55" spans="2:14" s="300" customForma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531"/>
      <c r="F56" s="338"/>
      <c r="G56" s="338"/>
      <c r="H56" s="772"/>
      <c r="I56" s="772"/>
      <c r="J56" s="772"/>
      <c r="K56" s="772"/>
      <c r="L56" s="772"/>
      <c r="M56" s="773"/>
      <c r="N56" s="322"/>
    </row>
    <row r="57" spans="2:14" s="300" customFormat="1" ht="14">
      <c r="B57" s="322"/>
      <c r="C57" s="770" t="s">
        <v>522</v>
      </c>
      <c r="D57" s="771"/>
      <c r="E57" s="531"/>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Kankakee</v>
      </c>
      <c r="J63" s="769"/>
      <c r="K63" s="17"/>
      <c r="L63" s="17"/>
      <c r="M63" s="8"/>
      <c r="N63" s="17"/>
    </row>
    <row r="64" spans="2:14" ht="16" thickBot="1">
      <c r="C64" s="308" t="s">
        <v>351</v>
      </c>
      <c r="D64" s="308"/>
      <c r="E64" s="308"/>
      <c r="F64" s="308"/>
      <c r="H64" s="363"/>
      <c r="I64" s="768" t="str">
        <f>F7</f>
        <v>Kankakee</v>
      </c>
      <c r="J64" s="769"/>
      <c r="K64" s="17"/>
      <c r="L64" s="17"/>
      <c r="M64" s="8"/>
      <c r="N64" s="17"/>
    </row>
    <row r="65" spans="2:15" ht="16" thickBot="1">
      <c r="C65" s="308" t="s">
        <v>352</v>
      </c>
      <c r="D65" s="308"/>
      <c r="E65" s="308"/>
      <c r="F65" s="308"/>
      <c r="H65" s="363"/>
      <c r="I65" s="768" t="str">
        <f>C3</f>
        <v>L Reyes</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t="s">
        <v>14</v>
      </c>
      <c r="J70" s="332" t="s">
        <v>14</v>
      </c>
    </row>
    <row r="71" spans="2:15">
      <c r="C71" s="2" t="s">
        <v>356</v>
      </c>
      <c r="D71" s="2"/>
      <c r="E71" s="2"/>
      <c r="F71" s="2"/>
      <c r="G71" s="2"/>
      <c r="H71" s="2"/>
      <c r="I71" s="535">
        <v>40896</v>
      </c>
      <c r="J71" s="535">
        <v>40896</v>
      </c>
    </row>
    <row r="72" spans="2:15">
      <c r="C72" s="2" t="s">
        <v>357</v>
      </c>
      <c r="D72" s="2"/>
      <c r="E72" s="2"/>
      <c r="F72" s="2"/>
      <c r="G72" s="2"/>
      <c r="H72" s="2"/>
      <c r="I72" s="535">
        <v>40896</v>
      </c>
      <c r="J72" s="535">
        <v>40896</v>
      </c>
    </row>
    <row r="73" spans="2:15">
      <c r="C73" s="2" t="s">
        <v>358</v>
      </c>
      <c r="D73" s="2"/>
      <c r="E73" s="2"/>
      <c r="F73" s="2"/>
      <c r="G73" s="2"/>
      <c r="H73" s="2"/>
      <c r="I73" s="535">
        <v>40896</v>
      </c>
      <c r="J73" s="535">
        <v>40896</v>
      </c>
    </row>
    <row r="74" spans="2:15">
      <c r="C74" s="312" t="s">
        <v>359</v>
      </c>
      <c r="D74" s="312"/>
      <c r="E74" s="312"/>
      <c r="F74" s="312"/>
      <c r="G74" s="312"/>
      <c r="H74" s="312"/>
      <c r="I74" s="535">
        <v>40886</v>
      </c>
      <c r="J74" s="535">
        <v>40892</v>
      </c>
    </row>
    <row r="75" spans="2:15">
      <c r="C75" s="2" t="s">
        <v>360</v>
      </c>
      <c r="D75" s="2"/>
      <c r="E75" s="2"/>
      <c r="F75" s="312"/>
      <c r="G75" s="312"/>
      <c r="H75" s="312"/>
      <c r="I75" s="332" t="s">
        <v>14</v>
      </c>
      <c r="J75" s="332" t="s">
        <v>14</v>
      </c>
    </row>
    <row r="76" spans="2:15">
      <c r="C76" s="2" t="s">
        <v>361</v>
      </c>
      <c r="D76" s="2"/>
      <c r="E76" s="2"/>
      <c r="F76" s="312"/>
      <c r="G76" s="312"/>
      <c r="H76" s="312"/>
      <c r="I76" s="535">
        <v>40886</v>
      </c>
      <c r="J76" s="535">
        <v>40889</v>
      </c>
    </row>
    <row r="77" spans="2:15">
      <c r="C77" s="2" t="s">
        <v>362</v>
      </c>
      <c r="D77" s="2"/>
      <c r="E77" s="2"/>
      <c r="F77" s="312"/>
      <c r="G77" s="312"/>
      <c r="H77" s="312"/>
      <c r="I77" s="534"/>
      <c r="J77" s="534"/>
    </row>
    <row r="78" spans="2:15">
      <c r="C78" s="312" t="s">
        <v>363</v>
      </c>
      <c r="D78" s="312"/>
      <c r="E78" s="312"/>
      <c r="F78" s="312"/>
      <c r="G78" s="312"/>
      <c r="H78" s="312"/>
      <c r="I78" s="535">
        <v>40546</v>
      </c>
      <c r="J78" s="535">
        <v>40546</v>
      </c>
    </row>
    <row r="79" spans="2:15">
      <c r="C79" s="312" t="s">
        <v>364</v>
      </c>
      <c r="D79" s="312"/>
      <c r="E79" s="312"/>
      <c r="F79" s="312"/>
      <c r="G79" s="312"/>
      <c r="H79" s="312"/>
      <c r="I79" s="535" t="s">
        <v>619</v>
      </c>
      <c r="J79" s="535" t="s">
        <v>619</v>
      </c>
    </row>
    <row r="80" spans="2:15">
      <c r="C80" s="312" t="s">
        <v>365</v>
      </c>
      <c r="D80" s="312"/>
      <c r="E80" s="312"/>
      <c r="F80" s="312"/>
      <c r="G80" s="312"/>
      <c r="H80" s="312"/>
      <c r="I80" s="535" t="s">
        <v>619</v>
      </c>
      <c r="J80" s="535" t="s">
        <v>619</v>
      </c>
    </row>
    <row r="81" spans="2:10">
      <c r="C81" s="315" t="s">
        <v>366</v>
      </c>
      <c r="D81" s="315"/>
      <c r="E81" s="315"/>
      <c r="F81" s="314"/>
      <c r="G81" s="314"/>
      <c r="H81" s="314"/>
      <c r="I81" s="535" t="s">
        <v>619</v>
      </c>
      <c r="J81" s="535" t="s">
        <v>619</v>
      </c>
    </row>
    <row r="82" spans="2:10">
      <c r="C82" s="2" t="s">
        <v>367</v>
      </c>
      <c r="D82" s="2"/>
      <c r="E82" s="2"/>
      <c r="F82" s="312"/>
      <c r="G82" s="312"/>
      <c r="H82" s="312"/>
      <c r="I82" s="534"/>
      <c r="J82" s="534"/>
    </row>
    <row r="83" spans="2:10">
      <c r="C83" s="312" t="s">
        <v>368</v>
      </c>
      <c r="D83" s="312"/>
      <c r="E83" s="312"/>
      <c r="F83" s="312"/>
      <c r="G83" s="312"/>
      <c r="H83" s="312"/>
      <c r="I83" s="535">
        <v>40886</v>
      </c>
      <c r="J83" s="535">
        <v>40882</v>
      </c>
    </row>
    <row r="84" spans="2:10">
      <c r="C84" s="312" t="s">
        <v>369</v>
      </c>
      <c r="D84" s="312"/>
      <c r="E84" s="312"/>
      <c r="F84" s="312"/>
      <c r="G84" s="312"/>
      <c r="H84" s="312"/>
      <c r="I84" s="535">
        <v>40886</v>
      </c>
      <c r="J84" s="535">
        <v>40882</v>
      </c>
    </row>
    <row r="85" spans="2:10">
      <c r="C85" s="312" t="s">
        <v>370</v>
      </c>
      <c r="D85" s="312"/>
      <c r="E85" s="312"/>
      <c r="F85" s="312"/>
      <c r="G85" s="312"/>
      <c r="H85" s="312"/>
      <c r="I85" s="332" t="s">
        <v>14</v>
      </c>
      <c r="J85" s="332" t="s">
        <v>14</v>
      </c>
    </row>
    <row r="86" spans="2:10">
      <c r="C86" s="2" t="s">
        <v>371</v>
      </c>
      <c r="D86" s="2"/>
      <c r="E86" s="2"/>
      <c r="F86" s="312"/>
      <c r="G86" s="312"/>
      <c r="H86" s="312"/>
      <c r="I86" s="535">
        <v>40896</v>
      </c>
      <c r="J86" s="535">
        <v>40896</v>
      </c>
    </row>
    <row r="87" spans="2:10">
      <c r="C87" s="2" t="s">
        <v>372</v>
      </c>
      <c r="D87" s="2"/>
      <c r="E87" s="2"/>
      <c r="F87" s="312"/>
      <c r="G87" s="312"/>
      <c r="H87" s="312"/>
      <c r="I87" s="535">
        <v>40896</v>
      </c>
      <c r="J87" s="535">
        <v>40892</v>
      </c>
    </row>
    <row r="88" spans="2:10">
      <c r="C88" s="2" t="s">
        <v>373</v>
      </c>
      <c r="D88" s="2"/>
      <c r="E88" s="2"/>
      <c r="F88" s="312"/>
      <c r="G88" s="312"/>
      <c r="H88" s="312"/>
      <c r="I88" s="535">
        <v>40891</v>
      </c>
      <c r="J88" s="535">
        <v>40891</v>
      </c>
    </row>
    <row r="89" spans="2:10">
      <c r="C89" s="2" t="s">
        <v>374</v>
      </c>
      <c r="D89" s="2"/>
      <c r="E89" s="2"/>
      <c r="F89" s="312"/>
      <c r="G89" s="312"/>
      <c r="H89" s="312"/>
      <c r="I89" s="535">
        <v>40896</v>
      </c>
      <c r="J89" s="535">
        <v>40896</v>
      </c>
    </row>
    <row r="90" spans="2:10">
      <c r="C90" s="2" t="s">
        <v>375</v>
      </c>
      <c r="D90" s="2"/>
      <c r="E90" s="2"/>
      <c r="F90" s="312"/>
      <c r="G90" s="312"/>
      <c r="H90" s="312"/>
      <c r="I90" s="332" t="s">
        <v>14</v>
      </c>
      <c r="J90" s="332" t="s">
        <v>14</v>
      </c>
    </row>
    <row r="91" spans="2:10">
      <c r="C91" s="2" t="s">
        <v>376</v>
      </c>
      <c r="D91" s="2"/>
      <c r="E91" s="2"/>
      <c r="F91" s="312"/>
      <c r="G91" s="312"/>
      <c r="H91" s="312"/>
      <c r="I91" s="332" t="s">
        <v>14</v>
      </c>
      <c r="J91" s="332" t="s">
        <v>14</v>
      </c>
    </row>
    <row r="92" spans="2:10">
      <c r="C92" s="308" t="s">
        <v>377</v>
      </c>
      <c r="D92" s="308"/>
      <c r="E92" s="308"/>
      <c r="F92" s="312"/>
      <c r="G92" s="312"/>
      <c r="H92" s="312"/>
      <c r="I92" s="364" t="s">
        <v>14</v>
      </c>
      <c r="J92" s="364" t="s">
        <v>14</v>
      </c>
    </row>
    <row r="93" spans="2:10">
      <c r="C93" s="2"/>
      <c r="D93" s="2"/>
      <c r="E93" s="2"/>
      <c r="F93" s="312"/>
      <c r="G93" s="312"/>
      <c r="H93" s="312"/>
      <c r="I93" s="331"/>
      <c r="J93" s="331"/>
    </row>
    <row r="94" spans="2:10">
      <c r="B94" s="309" t="s">
        <v>378</v>
      </c>
      <c r="C94" s="308"/>
      <c r="D94" s="308"/>
      <c r="E94" s="308"/>
      <c r="F94" s="313"/>
      <c r="G94" s="313"/>
      <c r="H94" s="313"/>
      <c r="I94" s="364" t="s">
        <v>14</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14</v>
      </c>
      <c r="J99" s="332" t="s">
        <v>14</v>
      </c>
    </row>
    <row r="100" spans="2:10">
      <c r="C100" s="2" t="s">
        <v>381</v>
      </c>
      <c r="D100" s="2"/>
      <c r="E100" s="2"/>
      <c r="F100" s="312"/>
      <c r="G100" s="312"/>
      <c r="H100" s="312"/>
      <c r="I100" s="535" t="s">
        <v>14</v>
      </c>
      <c r="J100" s="535" t="s">
        <v>14</v>
      </c>
    </row>
    <row r="101" spans="2:10">
      <c r="C101" s="2" t="s">
        <v>382</v>
      </c>
      <c r="D101" s="2"/>
      <c r="E101" s="2"/>
      <c r="F101" s="312"/>
      <c r="G101" s="312"/>
      <c r="H101" s="312"/>
      <c r="I101" s="332" t="s">
        <v>14</v>
      </c>
      <c r="J101" s="332" t="s">
        <v>14</v>
      </c>
    </row>
    <row r="102" spans="2:10">
      <c r="C102" s="308" t="s">
        <v>534</v>
      </c>
      <c r="D102" s="2"/>
      <c r="E102" s="2"/>
      <c r="F102" s="312"/>
      <c r="G102" s="312"/>
      <c r="H102" s="312"/>
      <c r="I102" s="364" t="s">
        <v>14</v>
      </c>
      <c r="J102" s="364" t="s">
        <v>14</v>
      </c>
    </row>
    <row r="103" spans="2:10">
      <c r="C103" s="2" t="s">
        <v>524</v>
      </c>
      <c r="D103" s="2"/>
      <c r="E103" s="2"/>
      <c r="F103" s="312"/>
      <c r="G103" s="312"/>
      <c r="H103" s="312"/>
      <c r="I103" s="332" t="s">
        <v>14</v>
      </c>
      <c r="J103" s="332" t="s">
        <v>14</v>
      </c>
    </row>
    <row r="104" spans="2:10">
      <c r="C104" s="2" t="s">
        <v>383</v>
      </c>
      <c r="D104" s="2"/>
      <c r="E104" s="2"/>
      <c r="F104" s="312"/>
      <c r="G104" s="312"/>
      <c r="H104" s="312"/>
      <c r="I104" s="332" t="s">
        <v>14</v>
      </c>
      <c r="J104" s="332" t="s">
        <v>14</v>
      </c>
    </row>
    <row r="105" spans="2:10">
      <c r="C105" s="2" t="s">
        <v>384</v>
      </c>
      <c r="D105" s="2"/>
      <c r="E105" s="2"/>
      <c r="F105" s="312"/>
      <c r="G105" s="312"/>
      <c r="H105" s="312"/>
      <c r="I105" s="535" t="s">
        <v>67</v>
      </c>
      <c r="J105" s="535" t="s">
        <v>67</v>
      </c>
    </row>
    <row r="106" spans="2:10">
      <c r="C106" s="2" t="s">
        <v>544</v>
      </c>
      <c r="D106" s="2"/>
      <c r="E106" s="2"/>
      <c r="F106" s="312"/>
      <c r="G106" s="312"/>
      <c r="H106" s="312"/>
      <c r="I106" s="535">
        <v>41102</v>
      </c>
      <c r="J106" s="332" t="s">
        <v>14</v>
      </c>
    </row>
    <row r="107" spans="2:10">
      <c r="C107" s="2" t="s">
        <v>385</v>
      </c>
      <c r="D107" s="2"/>
      <c r="E107" s="2"/>
      <c r="F107" s="312"/>
      <c r="G107" s="312"/>
      <c r="H107" s="312"/>
      <c r="I107" s="332" t="s">
        <v>14</v>
      </c>
      <c r="J107" s="332" t="s">
        <v>14</v>
      </c>
    </row>
    <row r="108" spans="2:10">
      <c r="C108" s="2" t="s">
        <v>386</v>
      </c>
      <c r="D108" s="2"/>
      <c r="E108" s="2"/>
      <c r="F108" s="312"/>
      <c r="G108" s="312"/>
      <c r="H108" s="312"/>
      <c r="I108" s="535">
        <v>40892</v>
      </c>
      <c r="J108" s="332" t="s">
        <v>14</v>
      </c>
    </row>
    <row r="109" spans="2:10">
      <c r="C109" s="2" t="s">
        <v>523</v>
      </c>
      <c r="D109" s="2"/>
      <c r="E109" s="2"/>
      <c r="F109" s="312"/>
      <c r="G109" s="312"/>
      <c r="H109" s="312"/>
      <c r="I109" s="535" t="s">
        <v>67</v>
      </c>
      <c r="J109" s="535" t="s">
        <v>67</v>
      </c>
    </row>
    <row r="110" spans="2:10">
      <c r="C110" s="308" t="s">
        <v>526</v>
      </c>
      <c r="D110" s="2"/>
      <c r="E110" s="2"/>
      <c r="F110" s="312"/>
      <c r="G110" s="312"/>
      <c r="H110" s="312"/>
      <c r="I110" s="364" t="s">
        <v>14</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535">
        <v>40886</v>
      </c>
      <c r="J115" s="535">
        <v>40896</v>
      </c>
    </row>
    <row r="116" spans="3:10">
      <c r="C116" s="315" t="s">
        <v>342</v>
      </c>
      <c r="D116" s="315"/>
      <c r="E116" s="315"/>
      <c r="F116" s="315"/>
      <c r="G116" s="315"/>
      <c r="H116" s="315"/>
      <c r="I116" s="535">
        <v>40886</v>
      </c>
      <c r="J116" s="535">
        <v>40896</v>
      </c>
    </row>
    <row r="117" spans="3:10">
      <c r="C117" s="315" t="s">
        <v>390</v>
      </c>
      <c r="D117" s="315"/>
      <c r="E117" s="315"/>
      <c r="F117" s="315"/>
      <c r="G117" s="315"/>
      <c r="H117" s="315"/>
      <c r="I117" s="535">
        <v>40886</v>
      </c>
      <c r="J117" s="535">
        <v>40896</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535">
        <v>40886</v>
      </c>
      <c r="J120" s="535">
        <v>40893</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534"/>
      <c r="J123" s="534"/>
    </row>
    <row r="124" spans="3:10">
      <c r="C124" s="315" t="s">
        <v>392</v>
      </c>
      <c r="D124" s="315"/>
      <c r="E124" s="315"/>
      <c r="F124" s="315"/>
      <c r="G124" s="315"/>
      <c r="H124" s="315"/>
      <c r="I124" s="332" t="s">
        <v>14</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534"/>
      <c r="J128" s="534"/>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t="s">
        <v>14</v>
      </c>
      <c r="J134" s="332" t="s">
        <v>14</v>
      </c>
    </row>
    <row r="135" spans="2:10">
      <c r="C135" s="2" t="s">
        <v>398</v>
      </c>
      <c r="D135" s="2"/>
      <c r="E135" s="2"/>
      <c r="F135" s="312"/>
      <c r="G135" s="312"/>
      <c r="H135" s="312"/>
      <c r="I135" s="332" t="s">
        <v>14</v>
      </c>
      <c r="J135" s="332" t="s">
        <v>14</v>
      </c>
    </row>
    <row r="136" spans="2:10">
      <c r="C136" s="2" t="s">
        <v>399</v>
      </c>
      <c r="D136" s="2"/>
      <c r="E136" s="2"/>
      <c r="F136" s="312"/>
      <c r="G136" s="312"/>
      <c r="H136" s="312"/>
      <c r="I136" s="332" t="s">
        <v>14</v>
      </c>
      <c r="J136" s="332" t="s">
        <v>14</v>
      </c>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535">
        <v>40896</v>
      </c>
      <c r="J139" s="535">
        <v>40896</v>
      </c>
    </row>
    <row r="140" spans="2:10">
      <c r="C140" s="2" t="s">
        <v>402</v>
      </c>
      <c r="D140" s="2"/>
      <c r="E140" s="2"/>
      <c r="F140" s="312"/>
      <c r="G140" s="312"/>
      <c r="H140" s="312"/>
      <c r="I140" s="535">
        <v>40886</v>
      </c>
      <c r="J140" s="535">
        <v>40892</v>
      </c>
    </row>
    <row r="141" spans="2:10">
      <c r="C141" s="312" t="s">
        <v>403</v>
      </c>
      <c r="D141" s="312"/>
      <c r="E141" s="312"/>
      <c r="F141" s="312"/>
      <c r="G141" s="312"/>
      <c r="H141" s="312"/>
      <c r="I141" s="332" t="s">
        <v>14</v>
      </c>
      <c r="J141" s="332" t="s">
        <v>14</v>
      </c>
    </row>
    <row r="142" spans="2:10">
      <c r="C142" s="312" t="s">
        <v>404</v>
      </c>
      <c r="D142" s="312"/>
      <c r="E142" s="312"/>
      <c r="F142" s="312"/>
      <c r="G142" s="312"/>
      <c r="H142" s="312"/>
      <c r="I142" s="535">
        <v>40886</v>
      </c>
      <c r="J142" s="535">
        <v>40892</v>
      </c>
    </row>
    <row r="143" spans="2:10">
      <c r="C143" s="312" t="s">
        <v>405</v>
      </c>
      <c r="D143" s="312"/>
      <c r="E143" s="312"/>
      <c r="F143" s="312"/>
      <c r="G143" s="312"/>
      <c r="H143" s="312"/>
      <c r="I143" s="535" t="s">
        <v>67</v>
      </c>
      <c r="J143" s="535" t="s">
        <v>67</v>
      </c>
    </row>
    <row r="144" spans="2:10">
      <c r="C144" s="2" t="s">
        <v>406</v>
      </c>
      <c r="D144" s="2"/>
      <c r="E144" s="2"/>
      <c r="F144" s="312"/>
      <c r="G144" s="312"/>
      <c r="H144" s="312"/>
      <c r="I144" s="332" t="s">
        <v>14</v>
      </c>
      <c r="J144" s="332" t="s">
        <v>14</v>
      </c>
    </row>
    <row r="145" spans="3:10">
      <c r="C145" s="2" t="s">
        <v>407</v>
      </c>
      <c r="D145" s="2"/>
      <c r="E145" s="2"/>
      <c r="F145" s="312"/>
      <c r="G145" s="312"/>
      <c r="H145" s="312"/>
      <c r="I145" s="332" t="s">
        <v>14</v>
      </c>
      <c r="J145" s="332" t="s">
        <v>14</v>
      </c>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2" t="s">
        <v>14</v>
      </c>
      <c r="J148" s="332" t="s">
        <v>14</v>
      </c>
    </row>
    <row r="149" spans="3:10">
      <c r="C149" s="312" t="s">
        <v>411</v>
      </c>
      <c r="D149" s="312"/>
      <c r="E149" s="312"/>
      <c r="F149" s="312"/>
      <c r="G149" s="312"/>
      <c r="H149" s="312"/>
      <c r="I149" s="535">
        <v>40886</v>
      </c>
      <c r="J149" s="535">
        <v>40868</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2" t="s">
        <v>14</v>
      </c>
      <c r="J154" s="332" t="s">
        <v>14</v>
      </c>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2" t="s">
        <v>14</v>
      </c>
      <c r="J156" s="332" t="s">
        <v>14</v>
      </c>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2" t="s">
        <v>14</v>
      </c>
      <c r="J162" s="332" t="s">
        <v>14</v>
      </c>
    </row>
    <row r="163" spans="3:10">
      <c r="C163" s="312" t="s">
        <v>425</v>
      </c>
      <c r="D163" s="312"/>
      <c r="E163" s="312"/>
      <c r="F163" s="312"/>
      <c r="G163" s="312"/>
      <c r="H163" s="312"/>
      <c r="I163" s="332" t="s">
        <v>14</v>
      </c>
      <c r="J163" s="332" t="s">
        <v>14</v>
      </c>
    </row>
    <row r="164" spans="3:10">
      <c r="C164" s="312" t="s">
        <v>426</v>
      </c>
      <c r="D164" s="312"/>
      <c r="E164" s="312"/>
      <c r="F164" s="312"/>
      <c r="G164" s="312"/>
      <c r="H164" s="312"/>
      <c r="I164" s="332" t="s">
        <v>14</v>
      </c>
      <c r="J164" s="332" t="s">
        <v>14</v>
      </c>
    </row>
    <row r="165" spans="3:10">
      <c r="C165" s="315" t="s">
        <v>427</v>
      </c>
      <c r="D165" s="315"/>
      <c r="E165" s="315"/>
      <c r="F165" s="315"/>
      <c r="G165" s="315"/>
      <c r="H165" s="315"/>
      <c r="I165" s="332" t="s">
        <v>14</v>
      </c>
      <c r="J165" s="332" t="s">
        <v>14</v>
      </c>
    </row>
    <row r="166" spans="3:10">
      <c r="C166" s="315" t="s">
        <v>428</v>
      </c>
      <c r="D166" s="315"/>
      <c r="E166" s="315"/>
      <c r="F166" s="315"/>
      <c r="G166" s="315"/>
      <c r="H166" s="315"/>
      <c r="I166" s="332" t="s">
        <v>14</v>
      </c>
      <c r="J166" s="332" t="s">
        <v>14</v>
      </c>
    </row>
    <row r="167" spans="3:10">
      <c r="C167" s="312" t="s">
        <v>429</v>
      </c>
      <c r="D167" s="312"/>
      <c r="E167" s="312"/>
      <c r="F167" s="312"/>
      <c r="G167" s="312"/>
      <c r="H167" s="312"/>
      <c r="I167" s="332" t="s">
        <v>14</v>
      </c>
      <c r="J167" s="332" t="s">
        <v>14</v>
      </c>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2" t="s">
        <v>14</v>
      </c>
      <c r="J170" s="332" t="s">
        <v>14</v>
      </c>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2" t="s">
        <v>14</v>
      </c>
      <c r="J173" s="332" t="s">
        <v>14</v>
      </c>
    </row>
    <row r="174" spans="3:10">
      <c r="C174" s="315" t="s">
        <v>432</v>
      </c>
      <c r="D174" s="315"/>
      <c r="E174" s="315"/>
      <c r="F174" s="315"/>
      <c r="G174" s="315"/>
      <c r="H174" s="315"/>
      <c r="I174" s="332" t="s">
        <v>14</v>
      </c>
      <c r="J174" s="332" t="s">
        <v>14</v>
      </c>
    </row>
    <row r="175" spans="3:10">
      <c r="C175" s="315" t="s">
        <v>433</v>
      </c>
      <c r="D175" s="315"/>
      <c r="E175" s="315"/>
      <c r="F175" s="315"/>
      <c r="G175" s="315"/>
      <c r="H175" s="315"/>
      <c r="I175" s="332" t="s">
        <v>14</v>
      </c>
      <c r="J175" s="332" t="s">
        <v>14</v>
      </c>
    </row>
    <row r="176" spans="3:10">
      <c r="C176" s="315" t="s">
        <v>434</v>
      </c>
      <c r="D176" s="315"/>
      <c r="E176" s="315"/>
      <c r="F176" s="315"/>
      <c r="G176" s="315"/>
      <c r="H176" s="315"/>
      <c r="I176" s="332" t="s">
        <v>14</v>
      </c>
      <c r="J176" s="332" t="s">
        <v>14</v>
      </c>
    </row>
    <row r="177" spans="3:10">
      <c r="C177" s="315" t="s">
        <v>435</v>
      </c>
      <c r="D177" s="315"/>
      <c r="E177" s="315"/>
      <c r="F177" s="315"/>
      <c r="G177" s="315"/>
      <c r="H177" s="315"/>
      <c r="I177" s="332" t="s">
        <v>14</v>
      </c>
      <c r="J177" s="332" t="s">
        <v>14</v>
      </c>
    </row>
    <row r="178" spans="3:10">
      <c r="C178" s="310" t="s">
        <v>422</v>
      </c>
      <c r="D178" s="310"/>
      <c r="E178" s="310"/>
      <c r="F178" s="312"/>
      <c r="G178" s="312"/>
      <c r="H178" s="312"/>
      <c r="I178" s="332" t="s">
        <v>14</v>
      </c>
      <c r="J178" s="332" t="s">
        <v>14</v>
      </c>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2" t="s">
        <v>14</v>
      </c>
      <c r="J187" s="332" t="s">
        <v>14</v>
      </c>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2" t="s">
        <v>14</v>
      </c>
      <c r="J193" s="332" t="s">
        <v>14</v>
      </c>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2" t="s">
        <v>14</v>
      </c>
      <c r="J210" s="332" t="s">
        <v>14</v>
      </c>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f>Detail!P39</f>
        <v>41548</v>
      </c>
      <c r="J225" s="364" t="s">
        <v>14</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332" t="s">
        <v>14</v>
      </c>
    </row>
    <row r="231" spans="2:10">
      <c r="C231" s="312" t="s">
        <v>477</v>
      </c>
      <c r="D231" s="312"/>
      <c r="E231" s="312"/>
      <c r="F231" s="312"/>
      <c r="G231" s="312"/>
      <c r="H231" s="312"/>
      <c r="I231" s="332" t="s">
        <v>14</v>
      </c>
      <c r="J231" s="332" t="s">
        <v>14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f>Detail!R39</f>
        <v>41548</v>
      </c>
      <c r="J235" s="364" t="s">
        <v>14</v>
      </c>
    </row>
    <row r="236" spans="2:10">
      <c r="C236" s="308" t="s">
        <v>480</v>
      </c>
      <c r="D236" s="2"/>
      <c r="E236" s="2"/>
      <c r="F236" s="312"/>
      <c r="G236" s="312"/>
      <c r="H236" s="312"/>
      <c r="I236" s="332" t="s">
        <v>14</v>
      </c>
      <c r="J236" s="332" t="s">
        <v>14</v>
      </c>
    </row>
    <row r="237" spans="2:10">
      <c r="C237" s="2" t="s">
        <v>481</v>
      </c>
      <c r="D237" s="2"/>
      <c r="E237" s="2"/>
      <c r="F237" s="312"/>
      <c r="G237" s="312"/>
      <c r="H237" s="312"/>
      <c r="I237" s="364" t="s">
        <v>14</v>
      </c>
      <c r="J237" s="364" t="s">
        <v>14</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14</v>
      </c>
      <c r="J253" s="332" t="s">
        <v>14</v>
      </c>
    </row>
    <row r="254" spans="2:10">
      <c r="C254" s="308" t="s">
        <v>539</v>
      </c>
      <c r="D254" s="2"/>
      <c r="E254" s="2"/>
      <c r="F254" s="312"/>
      <c r="G254" s="312"/>
      <c r="H254" s="312"/>
      <c r="I254" s="364" t="s">
        <v>14</v>
      </c>
      <c r="J254" s="364" t="s">
        <v>14</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14</v>
      </c>
      <c r="J267" s="332" t="s">
        <v>14</v>
      </c>
    </row>
    <row r="268" spans="2:10">
      <c r="C268" s="312" t="s">
        <v>495</v>
      </c>
      <c r="D268" s="312"/>
      <c r="E268" s="312"/>
      <c r="F268" s="312"/>
      <c r="G268" s="312"/>
      <c r="H268" s="312"/>
      <c r="I268" s="332" t="s">
        <v>14</v>
      </c>
      <c r="J268" s="332" t="s">
        <v>14</v>
      </c>
    </row>
    <row r="269" spans="2:10">
      <c r="C269" s="312" t="s">
        <v>496</v>
      </c>
      <c r="D269" s="312"/>
      <c r="E269" s="312"/>
      <c r="F269" s="312"/>
      <c r="G269" s="312"/>
      <c r="H269" s="312"/>
      <c r="I269" s="332" t="s">
        <v>14</v>
      </c>
      <c r="J269" s="332" t="s">
        <v>14</v>
      </c>
    </row>
    <row r="270" spans="2:10">
      <c r="C270" s="312" t="s">
        <v>497</v>
      </c>
      <c r="D270" s="312"/>
      <c r="E270" s="312"/>
      <c r="F270" s="312"/>
      <c r="G270" s="312"/>
      <c r="H270" s="312"/>
      <c r="I270" s="332" t="s">
        <v>14</v>
      </c>
      <c r="J270" s="332" t="s">
        <v>14</v>
      </c>
    </row>
    <row r="271" spans="2:10">
      <c r="C271" s="312" t="s">
        <v>498</v>
      </c>
      <c r="D271" s="312"/>
      <c r="E271" s="312"/>
      <c r="F271" s="312"/>
      <c r="G271" s="312"/>
      <c r="H271" s="312"/>
      <c r="I271" s="332" t="s">
        <v>14</v>
      </c>
      <c r="J271" s="332" t="s">
        <v>14</v>
      </c>
    </row>
    <row r="272" spans="2:10">
      <c r="C272" s="312" t="s">
        <v>499</v>
      </c>
      <c r="D272" s="312"/>
      <c r="E272" s="312"/>
      <c r="F272" s="312"/>
      <c r="G272" s="312"/>
      <c r="H272" s="312"/>
      <c r="I272" s="332" t="s">
        <v>14</v>
      </c>
      <c r="J272" s="332" t="s">
        <v>14</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I291" s="2"/>
      <c r="J291" s="7"/>
      <c r="K291" s="2"/>
      <c r="L291" s="2"/>
      <c r="M291" s="301"/>
      <c r="N291" s="2"/>
      <c r="O291" s="301"/>
    </row>
  </sheetData>
  <sheetProtection selectLockedCells="1"/>
  <mergeCells count="109">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39:D39"/>
    <mergeCell ref="H39:M39"/>
    <mergeCell ref="C40:D40"/>
    <mergeCell ref="H40:M40"/>
    <mergeCell ref="C41:D41"/>
    <mergeCell ref="H41:M41"/>
    <mergeCell ref="C24:D24"/>
    <mergeCell ref="F24:G24"/>
    <mergeCell ref="K24:M24"/>
    <mergeCell ref="C27:M34"/>
    <mergeCell ref="H37:M37"/>
    <mergeCell ref="C38:D38"/>
    <mergeCell ref="H38:M38"/>
    <mergeCell ref="C45:D45"/>
    <mergeCell ref="H45:M45"/>
    <mergeCell ref="C46:D46"/>
    <mergeCell ref="H46:M46"/>
    <mergeCell ref="C47:D47"/>
    <mergeCell ref="H47:M47"/>
    <mergeCell ref="C42:D42"/>
    <mergeCell ref="H42:M42"/>
    <mergeCell ref="C43:D43"/>
    <mergeCell ref="H43:M43"/>
    <mergeCell ref="C44:D44"/>
    <mergeCell ref="H44:M44"/>
    <mergeCell ref="C51:D51"/>
    <mergeCell ref="H51:M51"/>
    <mergeCell ref="C52:D52"/>
    <mergeCell ref="H52:M52"/>
    <mergeCell ref="C53:D53"/>
    <mergeCell ref="H53:M53"/>
    <mergeCell ref="C48:D48"/>
    <mergeCell ref="H48:M48"/>
    <mergeCell ref="C49:D49"/>
    <mergeCell ref="H49:M49"/>
    <mergeCell ref="C50:D50"/>
    <mergeCell ref="H50:M50"/>
    <mergeCell ref="I65:J65"/>
    <mergeCell ref="C57:D57"/>
    <mergeCell ref="H57:M57"/>
    <mergeCell ref="C58:D58"/>
    <mergeCell ref="H58:M58"/>
    <mergeCell ref="I63:J63"/>
    <mergeCell ref="I64:J64"/>
    <mergeCell ref="C54:D54"/>
    <mergeCell ref="H54:M54"/>
    <mergeCell ref="C55:D55"/>
    <mergeCell ref="H55:M55"/>
    <mergeCell ref="C56:D56"/>
    <mergeCell ref="H56:M56"/>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7">
    <tabColor rgb="FF00B0F0"/>
  </sheetPr>
  <dimension ref="B1:U291"/>
  <sheetViews>
    <sheetView topLeftCell="A3" workbookViewId="0">
      <selection activeCell="L12" sqref="L12:M12"/>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Detail!A40</f>
        <v>Johnston Center 2</v>
      </c>
      <c r="D2" s="341"/>
      <c r="E2" s="341"/>
      <c r="F2" s="120"/>
      <c r="G2" s="120"/>
      <c r="H2" s="120"/>
      <c r="I2" s="120"/>
      <c r="J2" s="120"/>
      <c r="K2" s="120"/>
      <c r="L2" s="120"/>
      <c r="M2" s="121"/>
      <c r="N2" s="319"/>
    </row>
    <row r="3" spans="2:21" s="122" customFormat="1" ht="20.25" customHeight="1" thickBot="1">
      <c r="B3" s="319"/>
      <c r="C3" s="136" t="str">
        <f>Detail!B40</f>
        <v>D Lyon</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Detail!V40</f>
        <v>Family</v>
      </c>
      <c r="G6" s="836"/>
      <c r="H6" s="357"/>
      <c r="I6" s="833" t="s">
        <v>219</v>
      </c>
      <c r="J6" s="834"/>
      <c r="K6" s="834"/>
      <c r="L6" s="837" t="str">
        <f>Detail!I40</f>
        <v>LIHTC - 9%</v>
      </c>
      <c r="M6" s="838"/>
      <c r="N6" s="318"/>
    </row>
    <row r="7" spans="2:21" ht="17.25" customHeight="1">
      <c r="B7" s="318"/>
      <c r="C7" s="796" t="s">
        <v>214</v>
      </c>
      <c r="D7" s="797"/>
      <c r="E7" s="352"/>
      <c r="F7" s="819" t="str">
        <f>Detail!C40</f>
        <v>Milwaukee</v>
      </c>
      <c r="G7" s="820"/>
      <c r="H7" s="357"/>
      <c r="I7" s="796" t="s">
        <v>183</v>
      </c>
      <c r="J7" s="797"/>
      <c r="K7" s="797"/>
      <c r="L7" s="830" t="str">
        <f>Detail!J40</f>
        <v>TBD</v>
      </c>
      <c r="M7" s="831"/>
      <c r="N7" s="318"/>
    </row>
    <row r="8" spans="2:21">
      <c r="B8" s="318"/>
      <c r="C8" s="796" t="s">
        <v>9</v>
      </c>
      <c r="D8" s="797"/>
      <c r="E8" s="352"/>
      <c r="F8" s="819" t="str">
        <f>Detail!D40</f>
        <v>New Construction</v>
      </c>
      <c r="G8" s="820"/>
      <c r="H8" s="357"/>
      <c r="I8" s="796" t="s">
        <v>184</v>
      </c>
      <c r="J8" s="797"/>
      <c r="K8" s="797"/>
      <c r="L8" s="830" t="str">
        <f>Detail!K40</f>
        <v>TBD</v>
      </c>
      <c r="M8" s="831"/>
      <c r="N8" s="318"/>
    </row>
    <row r="9" spans="2:21">
      <c r="B9" s="318"/>
      <c r="C9" s="796" t="s">
        <v>215</v>
      </c>
      <c r="D9" s="797"/>
      <c r="E9" s="353"/>
      <c r="F9" s="832">
        <f>Detail!T40</f>
        <v>55</v>
      </c>
      <c r="G9" s="820"/>
      <c r="H9" s="357"/>
      <c r="I9" s="796" t="s">
        <v>185</v>
      </c>
      <c r="J9" s="797"/>
      <c r="K9" s="797"/>
      <c r="L9" s="830" t="str">
        <f>Detail!L40</f>
        <v>TBD</v>
      </c>
      <c r="M9" s="831"/>
      <c r="N9" s="318"/>
    </row>
    <row r="10" spans="2:21" ht="17.25" customHeight="1">
      <c r="B10" s="318"/>
      <c r="C10" s="796" t="s">
        <v>216</v>
      </c>
      <c r="D10" s="797"/>
      <c r="E10" s="352"/>
      <c r="F10" s="819" t="str">
        <f>Detail!V40</f>
        <v>Family</v>
      </c>
      <c r="G10" s="820"/>
      <c r="H10" s="357"/>
      <c r="I10" s="796" t="s">
        <v>44</v>
      </c>
      <c r="J10" s="797"/>
      <c r="K10" s="797"/>
      <c r="L10" s="800">
        <f>Detail!AB40</f>
        <v>9625000</v>
      </c>
      <c r="M10" s="801"/>
      <c r="N10" s="318"/>
    </row>
    <row r="11" spans="2:21" ht="17.25" customHeight="1">
      <c r="B11" s="318"/>
      <c r="C11" s="361"/>
      <c r="D11" s="362"/>
      <c r="E11" s="352"/>
      <c r="F11" s="819" t="str">
        <f>Detail!W40</f>
        <v>Homeless</v>
      </c>
      <c r="G11" s="820"/>
      <c r="H11" s="357"/>
      <c r="I11" s="796" t="s">
        <v>602</v>
      </c>
      <c r="J11" s="797"/>
      <c r="K11" s="530"/>
      <c r="L11" s="828" t="str">
        <f>Detail!AG40</f>
        <v>TBD</v>
      </c>
      <c r="M11" s="829"/>
      <c r="N11" s="318"/>
    </row>
    <row r="12" spans="2:21">
      <c r="B12" s="318"/>
      <c r="C12" s="361"/>
      <c r="D12" s="362"/>
      <c r="E12" s="352"/>
      <c r="F12" s="819" t="str">
        <f>Detail!X40</f>
        <v>Vets</v>
      </c>
      <c r="G12" s="820"/>
      <c r="H12" s="357"/>
      <c r="I12" s="796" t="s">
        <v>603</v>
      </c>
      <c r="J12" s="797"/>
      <c r="K12" s="797"/>
      <c r="L12" s="828" t="str">
        <f>Detail!N40</f>
        <v>TBD</v>
      </c>
      <c r="M12" s="829"/>
      <c r="N12" s="318"/>
    </row>
    <row r="13" spans="2:21" ht="17.25" customHeight="1">
      <c r="B13" s="318"/>
      <c r="C13" s="796" t="s">
        <v>525</v>
      </c>
      <c r="D13" s="797"/>
      <c r="E13" s="354"/>
      <c r="F13" s="827" t="str">
        <f>Detail!AM40</f>
        <v>MHMG</v>
      </c>
      <c r="G13" s="820"/>
      <c r="H13" s="357"/>
      <c r="I13" s="796" t="s">
        <v>256</v>
      </c>
      <c r="J13" s="797"/>
      <c r="K13" s="797"/>
      <c r="L13" s="800" t="str">
        <f>Detail!AC40</f>
        <v>TBD</v>
      </c>
      <c r="M13" s="801"/>
      <c r="N13" s="318"/>
    </row>
    <row r="14" spans="2:21" ht="35.25" customHeight="1">
      <c r="B14" s="318"/>
      <c r="C14" s="796" t="s">
        <v>172</v>
      </c>
      <c r="D14" s="797"/>
      <c r="E14" s="352"/>
      <c r="F14" s="819" t="str">
        <f>Detail!Z40</f>
        <v>Case Management - 3rd party</v>
      </c>
      <c r="G14" s="820"/>
      <c r="H14" s="357"/>
      <c r="I14" s="796" t="s">
        <v>257</v>
      </c>
      <c r="J14" s="797"/>
      <c r="K14" s="797"/>
      <c r="L14" s="800" t="str">
        <f>Detail!AF40</f>
        <v>TBD</v>
      </c>
      <c r="M14" s="801"/>
      <c r="N14" s="318"/>
    </row>
    <row r="15" spans="2:21" ht="17.25" customHeight="1" thickBot="1">
      <c r="B15" s="318"/>
      <c r="C15" s="796" t="s">
        <v>217</v>
      </c>
      <c r="D15" s="797"/>
      <c r="E15" s="355"/>
      <c r="F15" s="819" t="str">
        <f>Detail!AA40</f>
        <v>TBD</v>
      </c>
      <c r="G15" s="820"/>
      <c r="H15" s="357"/>
      <c r="I15" s="821" t="s">
        <v>255</v>
      </c>
      <c r="J15" s="822"/>
      <c r="K15" s="822"/>
      <c r="L15" s="823" t="str">
        <f>Detail!AD40</f>
        <v>TBD</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Detail!AH40</f>
        <v>900000</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Detail!AJ40</f>
        <v>675000</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Detail!AI40</f>
        <v>225000</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6" thickTop="1">
      <c r="B21" s="320"/>
      <c r="C21" s="804" t="s">
        <v>46</v>
      </c>
      <c r="D21" s="805"/>
      <c r="E21" s="349"/>
      <c r="F21" s="806" t="str">
        <f>Detail!F40</f>
        <v>Prospect</v>
      </c>
      <c r="G21" s="807"/>
      <c r="H21" s="359"/>
      <c r="I21" s="804" t="s">
        <v>226</v>
      </c>
      <c r="J21" s="805"/>
      <c r="K21" s="805"/>
      <c r="L21" s="808">
        <f>Detail!Q40</f>
        <v>0</v>
      </c>
      <c r="M21" s="809"/>
      <c r="N21" s="320"/>
    </row>
    <row r="22" spans="2:21" s="88" customFormat="1" ht="17.25" customHeight="1">
      <c r="B22" s="320"/>
      <c r="C22" s="796" t="s">
        <v>223</v>
      </c>
      <c r="D22" s="797"/>
      <c r="E22" s="348"/>
      <c r="F22" s="798">
        <f>Detail!P40</f>
        <v>41609</v>
      </c>
      <c r="G22" s="799"/>
      <c r="H22" s="359"/>
      <c r="I22" s="796" t="s">
        <v>227</v>
      </c>
      <c r="J22" s="797"/>
      <c r="K22" s="797"/>
      <c r="L22" s="800">
        <f>Detail!AO40+Detail!AP40+Detail!AQ40+Detail!AR40</f>
        <v>0</v>
      </c>
      <c r="M22" s="801"/>
      <c r="N22" s="320"/>
    </row>
    <row r="23" spans="2:21" s="88" customFormat="1" ht="17.25" customHeight="1">
      <c r="B23" s="320"/>
      <c r="C23" s="796" t="s">
        <v>224</v>
      </c>
      <c r="D23" s="797"/>
      <c r="E23" s="348"/>
      <c r="F23" s="798">
        <f>Detail!R40</f>
        <v>41640</v>
      </c>
      <c r="G23" s="799"/>
      <c r="H23" s="359"/>
      <c r="I23" s="796" t="s">
        <v>228</v>
      </c>
      <c r="J23" s="797"/>
      <c r="K23" s="797"/>
      <c r="L23" s="800">
        <f>Detail!BG40</f>
        <v>0</v>
      </c>
      <c r="M23" s="801"/>
      <c r="N23" s="320"/>
    </row>
    <row r="24" spans="2:21" s="88" customFormat="1" ht="17.25" customHeight="1" thickBot="1">
      <c r="B24" s="320"/>
      <c r="C24" s="778" t="s">
        <v>225</v>
      </c>
      <c r="D24" s="779"/>
      <c r="E24" s="533"/>
      <c r="F24" s="780">
        <f>Detail!S40</f>
        <v>42005</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Johnston Center 2</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c r="B38" s="322"/>
      <c r="C38" s="792" t="s">
        <v>514</v>
      </c>
      <c r="D38" s="793"/>
      <c r="E38" s="344"/>
      <c r="F38" s="368" t="str">
        <f>I92</f>
        <v>TBD</v>
      </c>
      <c r="G38" s="368" t="str">
        <f>J92</f>
        <v>TBD</v>
      </c>
      <c r="H38" s="794"/>
      <c r="I38" s="794"/>
      <c r="J38" s="794"/>
      <c r="K38" s="794"/>
      <c r="L38" s="794"/>
      <c r="M38" s="795"/>
      <c r="N38" s="322"/>
    </row>
    <row r="39" spans="2:19" s="300" customFormat="1" ht="12.75" customHeight="1">
      <c r="B39" s="322"/>
      <c r="C39" s="774" t="s">
        <v>516</v>
      </c>
      <c r="D39" s="775"/>
      <c r="E39" s="532"/>
      <c r="F39" s="368" t="str">
        <f>I94</f>
        <v>TBD</v>
      </c>
      <c r="G39" s="369" t="str">
        <f>J94</f>
        <v>TBD</v>
      </c>
      <c r="H39" s="772"/>
      <c r="I39" s="772"/>
      <c r="J39" s="772"/>
      <c r="K39" s="772"/>
      <c r="L39" s="772"/>
      <c r="M39" s="773"/>
      <c r="N39" s="322"/>
    </row>
    <row r="40" spans="2:19" s="300" customFormat="1">
      <c r="B40" s="322"/>
      <c r="C40" s="774" t="s">
        <v>344</v>
      </c>
      <c r="D40" s="775"/>
      <c r="E40" s="532"/>
      <c r="F40" s="368" t="str">
        <f>I96</f>
        <v>TBD</v>
      </c>
      <c r="G40" s="368" t="str">
        <f>J96</f>
        <v>TBD</v>
      </c>
      <c r="H40" s="772"/>
      <c r="I40" s="772"/>
      <c r="J40" s="772"/>
      <c r="K40" s="772"/>
      <c r="L40" s="772"/>
      <c r="M40" s="773"/>
      <c r="N40" s="322"/>
    </row>
    <row r="41" spans="2:19" s="300" customFormat="1" ht="12.75" customHeight="1">
      <c r="B41" s="322"/>
      <c r="C41" s="774" t="s">
        <v>535</v>
      </c>
      <c r="D41" s="775"/>
      <c r="E41" s="532"/>
      <c r="F41" s="368" t="str">
        <f>'Johnston Ctr 2'!I102</f>
        <v>TBD</v>
      </c>
      <c r="G41" s="368" t="str">
        <f>J102</f>
        <v>TBD</v>
      </c>
      <c r="H41" s="772"/>
      <c r="I41" s="772"/>
      <c r="J41" s="772"/>
      <c r="K41" s="772"/>
      <c r="L41" s="772"/>
      <c r="M41" s="773"/>
      <c r="N41" s="322"/>
      <c r="P41" s="358"/>
      <c r="Q41" s="358"/>
      <c r="R41" s="358"/>
      <c r="S41" s="358"/>
    </row>
    <row r="42" spans="2:19" s="300" customFormat="1">
      <c r="B42" s="322"/>
      <c r="C42" s="774" t="s">
        <v>536</v>
      </c>
      <c r="D42" s="775"/>
      <c r="E42" s="532"/>
      <c r="F42" s="368" t="str">
        <f>I110</f>
        <v>TBD</v>
      </c>
      <c r="G42" s="368" t="str">
        <f>J110</f>
        <v>TBD</v>
      </c>
      <c r="H42" s="772"/>
      <c r="I42" s="772"/>
      <c r="J42" s="772"/>
      <c r="K42" s="772"/>
      <c r="L42" s="772"/>
      <c r="M42" s="773"/>
      <c r="N42" s="322"/>
      <c r="P42" s="358"/>
      <c r="Q42" s="358"/>
      <c r="R42" s="358"/>
      <c r="S42" s="358"/>
    </row>
    <row r="43" spans="2:19" s="300" customFormat="1">
      <c r="B43" s="322"/>
      <c r="C43" s="774" t="s">
        <v>517</v>
      </c>
      <c r="D43" s="775"/>
      <c r="E43" s="532"/>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32"/>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32"/>
      <c r="F45" s="368" t="str">
        <f>I200</f>
        <v>TBD</v>
      </c>
      <c r="G45" s="368" t="str">
        <f>J200</f>
        <v>TBD</v>
      </c>
      <c r="H45" s="772"/>
      <c r="I45" s="772"/>
      <c r="J45" s="772"/>
      <c r="K45" s="772"/>
      <c r="L45" s="772"/>
      <c r="M45" s="773"/>
      <c r="N45" s="322"/>
    </row>
    <row r="46" spans="2:19" s="300" customFormat="1">
      <c r="B46" s="322"/>
      <c r="C46" s="774" t="s">
        <v>538</v>
      </c>
      <c r="D46" s="775"/>
      <c r="E46" s="532"/>
      <c r="F46" s="368" t="str">
        <f>I232</f>
        <v>TBD</v>
      </c>
      <c r="G46" s="368" t="str">
        <f>J232</f>
        <v>TBD</v>
      </c>
      <c r="H46" s="772"/>
      <c r="I46" s="772"/>
      <c r="J46" s="772"/>
      <c r="K46" s="772"/>
      <c r="L46" s="772"/>
      <c r="M46" s="773"/>
      <c r="N46" s="322"/>
    </row>
    <row r="47" spans="2:19" s="300" customFormat="1">
      <c r="B47" s="322"/>
      <c r="C47" s="774" t="s">
        <v>55</v>
      </c>
      <c r="D47" s="775"/>
      <c r="E47" s="532"/>
      <c r="F47" s="368">
        <f>I225</f>
        <v>41639</v>
      </c>
      <c r="G47" s="368" t="str">
        <f>J225</f>
        <v>TBD</v>
      </c>
      <c r="H47" s="772"/>
      <c r="I47" s="772"/>
      <c r="J47" s="772"/>
      <c r="K47" s="772"/>
      <c r="L47" s="772"/>
      <c r="M47" s="773"/>
      <c r="N47" s="322"/>
    </row>
    <row r="48" spans="2:19" s="300" customFormat="1">
      <c r="B48" s="322"/>
      <c r="C48" s="774" t="s">
        <v>346</v>
      </c>
      <c r="D48" s="775"/>
      <c r="E48" s="532"/>
      <c r="F48" s="368">
        <f>I235</f>
        <v>41654</v>
      </c>
      <c r="G48" s="368" t="str">
        <f>J235</f>
        <v>TBD</v>
      </c>
      <c r="H48" s="772"/>
      <c r="I48" s="772"/>
      <c r="J48" s="772"/>
      <c r="K48" s="772"/>
      <c r="L48" s="772"/>
      <c r="M48" s="773"/>
      <c r="N48" s="322"/>
    </row>
    <row r="49" spans="2:14" s="300" customFormat="1">
      <c r="B49" s="322"/>
      <c r="C49" s="774" t="s">
        <v>347</v>
      </c>
      <c r="D49" s="775"/>
      <c r="E49" s="532"/>
      <c r="F49" s="368" t="str">
        <f>I237</f>
        <v>TBD</v>
      </c>
      <c r="G49" s="368" t="str">
        <f>J237</f>
        <v>TBD</v>
      </c>
      <c r="H49" s="772"/>
      <c r="I49" s="772"/>
      <c r="J49" s="772"/>
      <c r="K49" s="772"/>
      <c r="L49" s="772"/>
      <c r="M49" s="773"/>
      <c r="N49" s="322"/>
    </row>
    <row r="50" spans="2:14" s="300" customFormat="1">
      <c r="B50" s="322"/>
      <c r="C50" s="774" t="s">
        <v>348</v>
      </c>
      <c r="D50" s="775"/>
      <c r="E50" s="532"/>
      <c r="F50" s="368" t="str">
        <f>I254</f>
        <v>TBD</v>
      </c>
      <c r="G50" s="368" t="str">
        <f>J254</f>
        <v>TBD</v>
      </c>
      <c r="H50" s="772"/>
      <c r="I50" s="772"/>
      <c r="J50" s="772"/>
      <c r="K50" s="772"/>
      <c r="L50" s="772"/>
      <c r="M50" s="773"/>
      <c r="N50" s="322"/>
    </row>
    <row r="51" spans="2:14" s="300" customFormat="1">
      <c r="B51" s="322"/>
      <c r="C51" s="774" t="s">
        <v>65</v>
      </c>
      <c r="D51" s="775"/>
      <c r="E51" s="532"/>
      <c r="F51" s="368" t="str">
        <f>I255</f>
        <v>TBD</v>
      </c>
      <c r="G51" s="368" t="str">
        <f>J255</f>
        <v>TBD</v>
      </c>
      <c r="H51" s="772"/>
      <c r="I51" s="772"/>
      <c r="J51" s="772"/>
      <c r="K51" s="772"/>
      <c r="L51" s="772"/>
      <c r="M51" s="773"/>
      <c r="N51" s="322"/>
    </row>
    <row r="52" spans="2:14" s="300" customFormat="1">
      <c r="B52" s="322"/>
      <c r="C52" s="774" t="s">
        <v>540</v>
      </c>
      <c r="D52" s="775"/>
      <c r="E52" s="532"/>
      <c r="F52" s="368" t="str">
        <f>I273</f>
        <v>TBD</v>
      </c>
      <c r="G52" s="368" t="str">
        <f>J273</f>
        <v>TBD</v>
      </c>
      <c r="H52" s="772"/>
      <c r="I52" s="772"/>
      <c r="J52" s="772"/>
      <c r="K52" s="772"/>
      <c r="L52" s="772"/>
      <c r="M52" s="773"/>
      <c r="N52" s="322"/>
    </row>
    <row r="53" spans="2:14" s="300" customFormat="1">
      <c r="B53" s="322"/>
      <c r="C53" s="774" t="s">
        <v>542</v>
      </c>
      <c r="D53" s="775"/>
      <c r="E53" s="532"/>
      <c r="F53" s="368" t="str">
        <f>I276</f>
        <v>TBD</v>
      </c>
      <c r="G53" s="368" t="str">
        <f>J276</f>
        <v>TBD</v>
      </c>
      <c r="H53" s="772"/>
      <c r="I53" s="772"/>
      <c r="J53" s="772"/>
      <c r="K53" s="772"/>
      <c r="L53" s="772"/>
      <c r="M53" s="773"/>
      <c r="N53" s="322"/>
    </row>
    <row r="54" spans="2:14" s="300" customFormat="1">
      <c r="B54" s="322"/>
      <c r="C54" s="774">
        <v>8609</v>
      </c>
      <c r="D54" s="775"/>
      <c r="E54" s="532"/>
      <c r="F54" s="368" t="str">
        <f>I289</f>
        <v>TBD</v>
      </c>
      <c r="G54" s="368" t="str">
        <f>J289</f>
        <v>TBD</v>
      </c>
      <c r="H54" s="772"/>
      <c r="I54" s="772"/>
      <c r="J54" s="772"/>
      <c r="K54" s="772"/>
      <c r="L54" s="772"/>
      <c r="M54" s="773"/>
      <c r="N54" s="322"/>
    </row>
    <row r="55" spans="2:14" s="300" customForma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531"/>
      <c r="F56" s="338"/>
      <c r="G56" s="338"/>
      <c r="H56" s="772"/>
      <c r="I56" s="772"/>
      <c r="J56" s="772"/>
      <c r="K56" s="772"/>
      <c r="L56" s="772"/>
      <c r="M56" s="773"/>
      <c r="N56" s="322"/>
    </row>
    <row r="57" spans="2:14" s="300" customFormat="1" ht="14">
      <c r="B57" s="322"/>
      <c r="C57" s="770" t="s">
        <v>522</v>
      </c>
      <c r="D57" s="771"/>
      <c r="E57" s="531"/>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Johnston Center 2</v>
      </c>
      <c r="J63" s="769"/>
      <c r="K63" s="17"/>
      <c r="L63" s="17"/>
      <c r="M63" s="8"/>
      <c r="N63" s="17"/>
    </row>
    <row r="64" spans="2:14" ht="16" thickBot="1">
      <c r="C64" s="308" t="s">
        <v>351</v>
      </c>
      <c r="D64" s="308"/>
      <c r="E64" s="308"/>
      <c r="F64" s="308"/>
      <c r="H64" s="363"/>
      <c r="I64" s="768" t="str">
        <f>F7</f>
        <v>Milwaukee</v>
      </c>
      <c r="J64" s="769"/>
      <c r="K64" s="17"/>
      <c r="L64" s="17"/>
      <c r="M64" s="8"/>
      <c r="N64" s="17"/>
    </row>
    <row r="65" spans="2:15" ht="16" thickBot="1">
      <c r="C65" s="308" t="s">
        <v>352</v>
      </c>
      <c r="D65" s="308"/>
      <c r="E65" s="308"/>
      <c r="F65" s="308"/>
      <c r="H65" s="363"/>
      <c r="I65" s="768" t="str">
        <f>C3</f>
        <v>D Lyon</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t="s">
        <v>14</v>
      </c>
      <c r="J70" s="332" t="s">
        <v>14</v>
      </c>
    </row>
    <row r="71" spans="2:15">
      <c r="C71" s="2" t="s">
        <v>356</v>
      </c>
      <c r="D71" s="2"/>
      <c r="E71" s="2"/>
      <c r="F71" s="2"/>
      <c r="G71" s="2"/>
      <c r="H71" s="2"/>
      <c r="I71" s="332" t="s">
        <v>14</v>
      </c>
      <c r="J71" s="332" t="s">
        <v>14</v>
      </c>
    </row>
    <row r="72" spans="2:15">
      <c r="C72" s="2" t="s">
        <v>357</v>
      </c>
      <c r="D72" s="2"/>
      <c r="E72" s="2"/>
      <c r="F72" s="2"/>
      <c r="G72" s="2"/>
      <c r="H72" s="2"/>
      <c r="I72" s="332" t="s">
        <v>14</v>
      </c>
      <c r="J72" s="332" t="s">
        <v>14</v>
      </c>
    </row>
    <row r="73" spans="2:15">
      <c r="C73" s="2" t="s">
        <v>358</v>
      </c>
      <c r="D73" s="2"/>
      <c r="E73" s="2"/>
      <c r="F73" s="2"/>
      <c r="G73" s="2"/>
      <c r="H73" s="2"/>
      <c r="I73" s="332" t="s">
        <v>14</v>
      </c>
      <c r="J73" s="332" t="s">
        <v>14</v>
      </c>
    </row>
    <row r="74" spans="2:15">
      <c r="C74" s="312" t="s">
        <v>359</v>
      </c>
      <c r="D74" s="312"/>
      <c r="E74" s="312"/>
      <c r="F74" s="312"/>
      <c r="G74" s="312"/>
      <c r="H74" s="312"/>
      <c r="I74" s="332" t="s">
        <v>14</v>
      </c>
      <c r="J74" s="332" t="s">
        <v>14</v>
      </c>
    </row>
    <row r="75" spans="2:15">
      <c r="C75" s="2" t="s">
        <v>360</v>
      </c>
      <c r="D75" s="2"/>
      <c r="E75" s="2"/>
      <c r="F75" s="312"/>
      <c r="G75" s="312"/>
      <c r="H75" s="312"/>
      <c r="I75" s="332" t="s">
        <v>14</v>
      </c>
      <c r="J75" s="332" t="s">
        <v>14</v>
      </c>
    </row>
    <row r="76" spans="2:15">
      <c r="C76" s="2" t="s">
        <v>361</v>
      </c>
      <c r="D76" s="2"/>
      <c r="E76" s="2"/>
      <c r="F76" s="312"/>
      <c r="G76" s="312"/>
      <c r="H76" s="312"/>
      <c r="I76" s="332" t="s">
        <v>14</v>
      </c>
      <c r="J76" s="332" t="s">
        <v>14</v>
      </c>
    </row>
    <row r="77" spans="2:15">
      <c r="C77" s="2" t="s">
        <v>362</v>
      </c>
      <c r="D77" s="2"/>
      <c r="E77" s="2"/>
      <c r="F77" s="312"/>
      <c r="G77" s="312"/>
      <c r="H77" s="312"/>
      <c r="I77" s="534"/>
      <c r="J77" s="534"/>
    </row>
    <row r="78" spans="2:15">
      <c r="C78" s="312" t="s">
        <v>363</v>
      </c>
      <c r="D78" s="312"/>
      <c r="E78" s="312"/>
      <c r="F78" s="312"/>
      <c r="G78" s="312"/>
      <c r="H78" s="312"/>
      <c r="I78" s="332" t="s">
        <v>14</v>
      </c>
      <c r="J78" s="332" t="s">
        <v>14</v>
      </c>
    </row>
    <row r="79" spans="2:15">
      <c r="C79" s="312" t="s">
        <v>364</v>
      </c>
      <c r="D79" s="312"/>
      <c r="E79" s="312"/>
      <c r="F79" s="312"/>
      <c r="G79" s="312"/>
      <c r="H79" s="312"/>
      <c r="I79" s="332" t="s">
        <v>14</v>
      </c>
      <c r="J79" s="332" t="s">
        <v>14</v>
      </c>
    </row>
    <row r="80" spans="2:15">
      <c r="C80" s="312" t="s">
        <v>365</v>
      </c>
      <c r="D80" s="312"/>
      <c r="E80" s="312"/>
      <c r="F80" s="312"/>
      <c r="G80" s="312"/>
      <c r="H80" s="312"/>
      <c r="I80" s="332" t="s">
        <v>14</v>
      </c>
      <c r="J80" s="332" t="s">
        <v>14</v>
      </c>
    </row>
    <row r="81" spans="2:10">
      <c r="C81" s="315" t="s">
        <v>366</v>
      </c>
      <c r="D81" s="315"/>
      <c r="E81" s="315"/>
      <c r="F81" s="314"/>
      <c r="G81" s="314"/>
      <c r="H81" s="314"/>
      <c r="I81" s="332" t="s">
        <v>14</v>
      </c>
      <c r="J81" s="332" t="s">
        <v>14</v>
      </c>
    </row>
    <row r="82" spans="2:10">
      <c r="C82" s="2" t="s">
        <v>367</v>
      </c>
      <c r="D82" s="2"/>
      <c r="E82" s="2"/>
      <c r="F82" s="312"/>
      <c r="G82" s="312"/>
      <c r="H82" s="312"/>
      <c r="I82" s="534"/>
      <c r="J82" s="534"/>
    </row>
    <row r="83" spans="2:10">
      <c r="C83" s="312" t="s">
        <v>368</v>
      </c>
      <c r="D83" s="312"/>
      <c r="E83" s="312"/>
      <c r="F83" s="312"/>
      <c r="G83" s="312"/>
      <c r="H83" s="312"/>
      <c r="I83" s="332" t="s">
        <v>14</v>
      </c>
      <c r="J83" s="332" t="s">
        <v>14</v>
      </c>
    </row>
    <row r="84" spans="2:10">
      <c r="C84" s="312" t="s">
        <v>369</v>
      </c>
      <c r="D84" s="312"/>
      <c r="E84" s="312"/>
      <c r="F84" s="312"/>
      <c r="G84" s="312"/>
      <c r="H84" s="312"/>
      <c r="I84" s="332" t="s">
        <v>14</v>
      </c>
      <c r="J84" s="332" t="s">
        <v>14</v>
      </c>
    </row>
    <row r="85" spans="2:10">
      <c r="C85" s="312" t="s">
        <v>370</v>
      </c>
      <c r="D85" s="312"/>
      <c r="E85" s="312"/>
      <c r="F85" s="312"/>
      <c r="G85" s="312"/>
      <c r="H85" s="312"/>
      <c r="I85" s="332" t="s">
        <v>14</v>
      </c>
      <c r="J85" s="332" t="s">
        <v>14</v>
      </c>
    </row>
    <row r="86" spans="2:10">
      <c r="C86" s="2" t="s">
        <v>371</v>
      </c>
      <c r="D86" s="2"/>
      <c r="E86" s="2"/>
      <c r="F86" s="312"/>
      <c r="G86" s="312"/>
      <c r="H86" s="312"/>
      <c r="I86" s="332" t="s">
        <v>14</v>
      </c>
      <c r="J86" s="332" t="s">
        <v>14</v>
      </c>
    </row>
    <row r="87" spans="2:10">
      <c r="C87" s="2" t="s">
        <v>372</v>
      </c>
      <c r="D87" s="2"/>
      <c r="E87" s="2"/>
      <c r="F87" s="312"/>
      <c r="G87" s="312"/>
      <c r="H87" s="312"/>
      <c r="I87" s="332" t="s">
        <v>14</v>
      </c>
      <c r="J87" s="332" t="s">
        <v>14</v>
      </c>
    </row>
    <row r="88" spans="2:10">
      <c r="C88" s="2" t="s">
        <v>373</v>
      </c>
      <c r="D88" s="2"/>
      <c r="E88" s="2"/>
      <c r="F88" s="312"/>
      <c r="G88" s="312"/>
      <c r="H88" s="312"/>
      <c r="I88" s="332" t="s">
        <v>14</v>
      </c>
      <c r="J88" s="332" t="s">
        <v>14</v>
      </c>
    </row>
    <row r="89" spans="2:10">
      <c r="C89" s="2" t="s">
        <v>374</v>
      </c>
      <c r="D89" s="2"/>
      <c r="E89" s="2"/>
      <c r="F89" s="312"/>
      <c r="G89" s="312"/>
      <c r="H89" s="312"/>
      <c r="I89" s="332" t="s">
        <v>14</v>
      </c>
      <c r="J89" s="332" t="s">
        <v>14</v>
      </c>
    </row>
    <row r="90" spans="2:10">
      <c r="C90" s="2" t="s">
        <v>375</v>
      </c>
      <c r="D90" s="2"/>
      <c r="E90" s="2"/>
      <c r="F90" s="312"/>
      <c r="G90" s="312"/>
      <c r="H90" s="312"/>
      <c r="I90" s="332" t="s">
        <v>14</v>
      </c>
      <c r="J90" s="332" t="s">
        <v>14</v>
      </c>
    </row>
    <row r="91" spans="2:10">
      <c r="C91" s="2" t="s">
        <v>376</v>
      </c>
      <c r="D91" s="2"/>
      <c r="E91" s="2"/>
      <c r="F91" s="312"/>
      <c r="G91" s="312"/>
      <c r="H91" s="312"/>
      <c r="I91" s="332" t="s">
        <v>14</v>
      </c>
      <c r="J91" s="332" t="s">
        <v>14</v>
      </c>
    </row>
    <row r="92" spans="2:10">
      <c r="C92" s="308" t="s">
        <v>377</v>
      </c>
      <c r="D92" s="308"/>
      <c r="E92" s="308"/>
      <c r="F92" s="312"/>
      <c r="G92" s="312"/>
      <c r="H92" s="312"/>
      <c r="I92" s="364" t="s">
        <v>14</v>
      </c>
      <c r="J92" s="364" t="s">
        <v>14</v>
      </c>
    </row>
    <row r="93" spans="2:10">
      <c r="C93" s="2"/>
      <c r="D93" s="2"/>
      <c r="E93" s="2"/>
      <c r="F93" s="312"/>
      <c r="G93" s="312"/>
      <c r="H93" s="312"/>
      <c r="I93" s="331"/>
      <c r="J93" s="331"/>
    </row>
    <row r="94" spans="2:10">
      <c r="B94" s="309" t="s">
        <v>378</v>
      </c>
      <c r="C94" s="308"/>
      <c r="D94" s="308"/>
      <c r="E94" s="308"/>
      <c r="F94" s="313"/>
      <c r="G94" s="313"/>
      <c r="H94" s="313"/>
      <c r="I94" s="364" t="s">
        <v>14</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14</v>
      </c>
      <c r="J99" s="332" t="s">
        <v>14</v>
      </c>
    </row>
    <row r="100" spans="2:10">
      <c r="C100" s="2" t="s">
        <v>381</v>
      </c>
      <c r="D100" s="2"/>
      <c r="E100" s="2"/>
      <c r="F100" s="312"/>
      <c r="G100" s="312"/>
      <c r="H100" s="312"/>
      <c r="I100" s="332" t="s">
        <v>14</v>
      </c>
      <c r="J100" s="332" t="s">
        <v>14</v>
      </c>
    </row>
    <row r="101" spans="2:10">
      <c r="C101" s="2" t="s">
        <v>382</v>
      </c>
      <c r="D101" s="2"/>
      <c r="E101" s="2"/>
      <c r="F101" s="312"/>
      <c r="G101" s="312"/>
      <c r="H101" s="312"/>
      <c r="I101" s="332" t="s">
        <v>14</v>
      </c>
      <c r="J101" s="332" t="s">
        <v>14</v>
      </c>
    </row>
    <row r="102" spans="2:10">
      <c r="C102" s="308" t="s">
        <v>534</v>
      </c>
      <c r="D102" s="2"/>
      <c r="E102" s="2"/>
      <c r="F102" s="312"/>
      <c r="G102" s="312"/>
      <c r="H102" s="312"/>
      <c r="I102" s="364" t="s">
        <v>14</v>
      </c>
      <c r="J102" s="364" t="s">
        <v>14</v>
      </c>
    </row>
    <row r="103" spans="2:10">
      <c r="C103" s="2" t="s">
        <v>524</v>
      </c>
      <c r="D103" s="2"/>
      <c r="E103" s="2"/>
      <c r="F103" s="312"/>
      <c r="G103" s="312"/>
      <c r="H103" s="312"/>
      <c r="I103" s="332" t="s">
        <v>14</v>
      </c>
      <c r="J103" s="332" t="s">
        <v>14</v>
      </c>
    </row>
    <row r="104" spans="2:10">
      <c r="C104" s="2" t="s">
        <v>383</v>
      </c>
      <c r="D104" s="2"/>
      <c r="E104" s="2"/>
      <c r="F104" s="312"/>
      <c r="G104" s="312"/>
      <c r="H104" s="312"/>
      <c r="I104" s="332" t="s">
        <v>14</v>
      </c>
      <c r="J104" s="332" t="s">
        <v>14</v>
      </c>
    </row>
    <row r="105" spans="2:10">
      <c r="C105" s="2" t="s">
        <v>384</v>
      </c>
      <c r="D105" s="2"/>
      <c r="E105" s="2"/>
      <c r="F105" s="312"/>
      <c r="G105" s="312"/>
      <c r="H105" s="312"/>
      <c r="I105" s="332" t="s">
        <v>14</v>
      </c>
      <c r="J105" s="332" t="s">
        <v>14</v>
      </c>
    </row>
    <row r="106" spans="2:10">
      <c r="C106" s="2" t="s">
        <v>544</v>
      </c>
      <c r="D106" s="2"/>
      <c r="E106" s="2"/>
      <c r="F106" s="312"/>
      <c r="G106" s="312"/>
      <c r="H106" s="312"/>
      <c r="I106" s="332" t="s">
        <v>14</v>
      </c>
      <c r="J106" s="332" t="s">
        <v>14</v>
      </c>
    </row>
    <row r="107" spans="2:10">
      <c r="C107" s="2" t="s">
        <v>385</v>
      </c>
      <c r="D107" s="2"/>
      <c r="E107" s="2"/>
      <c r="F107" s="312"/>
      <c r="G107" s="312"/>
      <c r="H107" s="312"/>
      <c r="I107" s="332" t="s">
        <v>14</v>
      </c>
      <c r="J107" s="332" t="s">
        <v>14</v>
      </c>
    </row>
    <row r="108" spans="2:10">
      <c r="C108" s="2" t="s">
        <v>386</v>
      </c>
      <c r="D108" s="2"/>
      <c r="E108" s="2"/>
      <c r="F108" s="312"/>
      <c r="G108" s="312"/>
      <c r="H108" s="312"/>
      <c r="I108" s="332" t="s">
        <v>14</v>
      </c>
      <c r="J108" s="332" t="s">
        <v>14</v>
      </c>
    </row>
    <row r="109" spans="2:10">
      <c r="C109" s="2" t="s">
        <v>523</v>
      </c>
      <c r="D109" s="2"/>
      <c r="E109" s="2"/>
      <c r="F109" s="312"/>
      <c r="G109" s="312"/>
      <c r="H109" s="312"/>
      <c r="I109" s="332" t="s">
        <v>14</v>
      </c>
      <c r="J109" s="332" t="s">
        <v>14</v>
      </c>
    </row>
    <row r="110" spans="2:10">
      <c r="C110" s="308" t="s">
        <v>526</v>
      </c>
      <c r="D110" s="2"/>
      <c r="E110" s="2"/>
      <c r="F110" s="312"/>
      <c r="G110" s="312"/>
      <c r="H110" s="312"/>
      <c r="I110" s="364" t="s">
        <v>14</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t="s">
        <v>14</v>
      </c>
      <c r="J115" s="332" t="s">
        <v>14</v>
      </c>
    </row>
    <row r="116" spans="3:10">
      <c r="C116" s="315" t="s">
        <v>342</v>
      </c>
      <c r="D116" s="315"/>
      <c r="E116" s="315"/>
      <c r="F116" s="315"/>
      <c r="G116" s="315"/>
      <c r="H116" s="315"/>
      <c r="I116" s="332" t="s">
        <v>14</v>
      </c>
      <c r="J116" s="332" t="s">
        <v>14</v>
      </c>
    </row>
    <row r="117" spans="3:10">
      <c r="C117" s="315" t="s">
        <v>390</v>
      </c>
      <c r="D117" s="315"/>
      <c r="E117" s="315"/>
      <c r="F117" s="315"/>
      <c r="G117" s="315"/>
      <c r="H117" s="315"/>
      <c r="I117" s="332" t="s">
        <v>14</v>
      </c>
      <c r="J117" s="332" t="s">
        <v>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t="s">
        <v>14</v>
      </c>
      <c r="J120" s="332" t="s">
        <v>14</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534"/>
      <c r="J123" s="534"/>
    </row>
    <row r="124" spans="3:10">
      <c r="C124" s="315" t="s">
        <v>392</v>
      </c>
      <c r="D124" s="315"/>
      <c r="E124" s="315"/>
      <c r="F124" s="315"/>
      <c r="G124" s="315"/>
      <c r="H124" s="315"/>
      <c r="I124" s="332" t="s">
        <v>14</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534"/>
      <c r="J128" s="534"/>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t="s">
        <v>14</v>
      </c>
      <c r="J134" s="332" t="s">
        <v>14</v>
      </c>
    </row>
    <row r="135" spans="2:10">
      <c r="C135" s="2" t="s">
        <v>398</v>
      </c>
      <c r="D135" s="2"/>
      <c r="E135" s="2"/>
      <c r="F135" s="312"/>
      <c r="G135" s="312"/>
      <c r="H135" s="312"/>
      <c r="I135" s="332" t="s">
        <v>14</v>
      </c>
      <c r="J135" s="332" t="s">
        <v>14</v>
      </c>
    </row>
    <row r="136" spans="2:10">
      <c r="C136" s="2" t="s">
        <v>399</v>
      </c>
      <c r="D136" s="2"/>
      <c r="E136" s="2"/>
      <c r="F136" s="312"/>
      <c r="G136" s="312"/>
      <c r="H136" s="312"/>
      <c r="I136" s="332" t="s">
        <v>14</v>
      </c>
      <c r="J136" s="332" t="s">
        <v>14</v>
      </c>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332" t="s">
        <v>14</v>
      </c>
      <c r="J139" s="332" t="s">
        <v>14</v>
      </c>
    </row>
    <row r="140" spans="2:10">
      <c r="C140" s="2" t="s">
        <v>402</v>
      </c>
      <c r="D140" s="2"/>
      <c r="E140" s="2"/>
      <c r="F140" s="312"/>
      <c r="G140" s="312"/>
      <c r="H140" s="312"/>
      <c r="I140" s="332" t="s">
        <v>14</v>
      </c>
      <c r="J140" s="332" t="s">
        <v>14</v>
      </c>
    </row>
    <row r="141" spans="2:10">
      <c r="C141" s="312" t="s">
        <v>403</v>
      </c>
      <c r="D141" s="312"/>
      <c r="E141" s="312"/>
      <c r="F141" s="312"/>
      <c r="G141" s="312"/>
      <c r="H141" s="312"/>
      <c r="I141" s="332" t="s">
        <v>14</v>
      </c>
      <c r="J141" s="332" t="s">
        <v>14</v>
      </c>
    </row>
    <row r="142" spans="2:10">
      <c r="C142" s="312" t="s">
        <v>404</v>
      </c>
      <c r="D142" s="312"/>
      <c r="E142" s="312"/>
      <c r="F142" s="312"/>
      <c r="G142" s="312"/>
      <c r="H142" s="312"/>
      <c r="I142" s="332" t="s">
        <v>14</v>
      </c>
      <c r="J142" s="332" t="s">
        <v>14</v>
      </c>
    </row>
    <row r="143" spans="2:10">
      <c r="C143" s="312" t="s">
        <v>405</v>
      </c>
      <c r="D143" s="312"/>
      <c r="E143" s="312"/>
      <c r="F143" s="312"/>
      <c r="G143" s="312"/>
      <c r="H143" s="312"/>
      <c r="I143" s="332" t="s">
        <v>14</v>
      </c>
      <c r="J143" s="332" t="s">
        <v>14</v>
      </c>
    </row>
    <row r="144" spans="2:10">
      <c r="C144" s="2" t="s">
        <v>406</v>
      </c>
      <c r="D144" s="2"/>
      <c r="E144" s="2"/>
      <c r="F144" s="312"/>
      <c r="G144" s="312"/>
      <c r="H144" s="312"/>
      <c r="I144" s="332" t="s">
        <v>14</v>
      </c>
      <c r="J144" s="332" t="s">
        <v>14</v>
      </c>
    </row>
    <row r="145" spans="3:10">
      <c r="C145" s="2" t="s">
        <v>407</v>
      </c>
      <c r="D145" s="2"/>
      <c r="E145" s="2"/>
      <c r="F145" s="312"/>
      <c r="G145" s="312"/>
      <c r="H145" s="312"/>
      <c r="I145" s="332" t="s">
        <v>14</v>
      </c>
      <c r="J145" s="332" t="s">
        <v>14</v>
      </c>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2" t="s">
        <v>14</v>
      </c>
      <c r="J148" s="332" t="s">
        <v>14</v>
      </c>
    </row>
    <row r="149" spans="3:10">
      <c r="C149" s="312" t="s">
        <v>411</v>
      </c>
      <c r="D149" s="312"/>
      <c r="E149" s="312"/>
      <c r="F149" s="312"/>
      <c r="G149" s="312"/>
      <c r="H149" s="312"/>
      <c r="I149" s="332" t="s">
        <v>14</v>
      </c>
      <c r="J149" s="332" t="s">
        <v>14</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2" t="s">
        <v>14</v>
      </c>
      <c r="J154" s="332" t="s">
        <v>14</v>
      </c>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2" t="s">
        <v>14</v>
      </c>
      <c r="J156" s="332" t="s">
        <v>14</v>
      </c>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2" t="s">
        <v>14</v>
      </c>
      <c r="J162" s="332" t="s">
        <v>14</v>
      </c>
    </row>
    <row r="163" spans="3:10">
      <c r="C163" s="312" t="s">
        <v>425</v>
      </c>
      <c r="D163" s="312"/>
      <c r="E163" s="312"/>
      <c r="F163" s="312"/>
      <c r="G163" s="312"/>
      <c r="H163" s="312"/>
      <c r="I163" s="332" t="s">
        <v>14</v>
      </c>
      <c r="J163" s="332" t="s">
        <v>14</v>
      </c>
    </row>
    <row r="164" spans="3:10">
      <c r="C164" s="312" t="s">
        <v>426</v>
      </c>
      <c r="D164" s="312"/>
      <c r="E164" s="312"/>
      <c r="F164" s="312"/>
      <c r="G164" s="312"/>
      <c r="H164" s="312"/>
      <c r="I164" s="332" t="s">
        <v>14</v>
      </c>
      <c r="J164" s="332" t="s">
        <v>14</v>
      </c>
    </row>
    <row r="165" spans="3:10">
      <c r="C165" s="315" t="s">
        <v>427</v>
      </c>
      <c r="D165" s="315"/>
      <c r="E165" s="315"/>
      <c r="F165" s="315"/>
      <c r="G165" s="315"/>
      <c r="H165" s="315"/>
      <c r="I165" s="332" t="s">
        <v>14</v>
      </c>
      <c r="J165" s="332" t="s">
        <v>14</v>
      </c>
    </row>
    <row r="166" spans="3:10">
      <c r="C166" s="315" t="s">
        <v>428</v>
      </c>
      <c r="D166" s="315"/>
      <c r="E166" s="315"/>
      <c r="F166" s="315"/>
      <c r="G166" s="315"/>
      <c r="H166" s="315"/>
      <c r="I166" s="332" t="s">
        <v>14</v>
      </c>
      <c r="J166" s="332" t="s">
        <v>14</v>
      </c>
    </row>
    <row r="167" spans="3:10">
      <c r="C167" s="312" t="s">
        <v>429</v>
      </c>
      <c r="D167" s="312"/>
      <c r="E167" s="312"/>
      <c r="F167" s="312"/>
      <c r="G167" s="312"/>
      <c r="H167" s="312"/>
      <c r="I167" s="332" t="s">
        <v>14</v>
      </c>
      <c r="J167" s="332" t="s">
        <v>14</v>
      </c>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2" t="s">
        <v>14</v>
      </c>
      <c r="J170" s="332" t="s">
        <v>14</v>
      </c>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2" t="s">
        <v>14</v>
      </c>
      <c r="J173" s="332" t="s">
        <v>14</v>
      </c>
    </row>
    <row r="174" spans="3:10">
      <c r="C174" s="315" t="s">
        <v>432</v>
      </c>
      <c r="D174" s="315"/>
      <c r="E174" s="315"/>
      <c r="F174" s="315"/>
      <c r="G174" s="315"/>
      <c r="H174" s="315"/>
      <c r="I174" s="332" t="s">
        <v>14</v>
      </c>
      <c r="J174" s="332" t="s">
        <v>14</v>
      </c>
    </row>
    <row r="175" spans="3:10">
      <c r="C175" s="315" t="s">
        <v>433</v>
      </c>
      <c r="D175" s="315"/>
      <c r="E175" s="315"/>
      <c r="F175" s="315"/>
      <c r="G175" s="315"/>
      <c r="H175" s="315"/>
      <c r="I175" s="332" t="s">
        <v>14</v>
      </c>
      <c r="J175" s="332" t="s">
        <v>14</v>
      </c>
    </row>
    <row r="176" spans="3:10">
      <c r="C176" s="315" t="s">
        <v>434</v>
      </c>
      <c r="D176" s="315"/>
      <c r="E176" s="315"/>
      <c r="F176" s="315"/>
      <c r="G176" s="315"/>
      <c r="H176" s="315"/>
      <c r="I176" s="332" t="s">
        <v>14</v>
      </c>
      <c r="J176" s="332" t="s">
        <v>14</v>
      </c>
    </row>
    <row r="177" spans="3:10">
      <c r="C177" s="315" t="s">
        <v>435</v>
      </c>
      <c r="D177" s="315"/>
      <c r="E177" s="315"/>
      <c r="F177" s="315"/>
      <c r="G177" s="315"/>
      <c r="H177" s="315"/>
      <c r="I177" s="332" t="s">
        <v>14</v>
      </c>
      <c r="J177" s="332" t="s">
        <v>14</v>
      </c>
    </row>
    <row r="178" spans="3:10">
      <c r="C178" s="310" t="s">
        <v>422</v>
      </c>
      <c r="D178" s="310"/>
      <c r="E178" s="310"/>
      <c r="F178" s="312"/>
      <c r="G178" s="312"/>
      <c r="H178" s="312"/>
      <c r="I178" s="332" t="s">
        <v>14</v>
      </c>
      <c r="J178" s="332" t="s">
        <v>14</v>
      </c>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2" t="s">
        <v>14</v>
      </c>
      <c r="J187" s="332" t="s">
        <v>14</v>
      </c>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2" t="s">
        <v>14</v>
      </c>
      <c r="J193" s="332" t="s">
        <v>14</v>
      </c>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2" t="s">
        <v>14</v>
      </c>
      <c r="J210" s="332" t="s">
        <v>14</v>
      </c>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v>41639</v>
      </c>
      <c r="J225" s="364" t="s">
        <v>14</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332" t="s">
        <v>14</v>
      </c>
    </row>
    <row r="231" spans="2:10">
      <c r="C231" s="312" t="s">
        <v>477</v>
      </c>
      <c r="D231" s="312"/>
      <c r="E231" s="312"/>
      <c r="F231" s="312"/>
      <c r="G231" s="312"/>
      <c r="H231" s="312"/>
      <c r="I231" s="332" t="s">
        <v>14</v>
      </c>
      <c r="J231" s="332" t="s">
        <v>14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v>41654</v>
      </c>
      <c r="J235" s="364" t="s">
        <v>14</v>
      </c>
    </row>
    <row r="236" spans="2:10">
      <c r="C236" s="308" t="s">
        <v>480</v>
      </c>
      <c r="D236" s="2"/>
      <c r="E236" s="2"/>
      <c r="F236" s="312"/>
      <c r="G236" s="312"/>
      <c r="H236" s="312"/>
      <c r="I236" s="332" t="s">
        <v>14</v>
      </c>
      <c r="J236" s="332" t="s">
        <v>14</v>
      </c>
    </row>
    <row r="237" spans="2:10">
      <c r="C237" s="2" t="s">
        <v>481</v>
      </c>
      <c r="D237" s="2"/>
      <c r="E237" s="2"/>
      <c r="F237" s="312"/>
      <c r="G237" s="312"/>
      <c r="H237" s="312"/>
      <c r="I237" s="364" t="s">
        <v>14</v>
      </c>
      <c r="J237" s="364" t="s">
        <v>14</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14</v>
      </c>
      <c r="J253" s="332" t="s">
        <v>14</v>
      </c>
    </row>
    <row r="254" spans="2:10">
      <c r="C254" s="308" t="s">
        <v>539</v>
      </c>
      <c r="D254" s="2"/>
      <c r="E254" s="2"/>
      <c r="F254" s="312"/>
      <c r="G254" s="312"/>
      <c r="H254" s="312"/>
      <c r="I254" s="364" t="s">
        <v>14</v>
      </c>
      <c r="J254" s="364" t="s">
        <v>14</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14</v>
      </c>
      <c r="J267" s="332" t="s">
        <v>14</v>
      </c>
    </row>
    <row r="268" spans="2:10">
      <c r="C268" s="312" t="s">
        <v>495</v>
      </c>
      <c r="D268" s="312"/>
      <c r="E268" s="312"/>
      <c r="F268" s="312"/>
      <c r="G268" s="312"/>
      <c r="H268" s="312"/>
      <c r="I268" s="332" t="s">
        <v>14</v>
      </c>
      <c r="J268" s="332" t="s">
        <v>14</v>
      </c>
    </row>
    <row r="269" spans="2:10">
      <c r="C269" s="312" t="s">
        <v>496</v>
      </c>
      <c r="D269" s="312"/>
      <c r="E269" s="312"/>
      <c r="F269" s="312"/>
      <c r="G269" s="312"/>
      <c r="H269" s="312"/>
      <c r="I269" s="332" t="s">
        <v>14</v>
      </c>
      <c r="J269" s="332" t="s">
        <v>14</v>
      </c>
    </row>
    <row r="270" spans="2:10">
      <c r="C270" s="312" t="s">
        <v>497</v>
      </c>
      <c r="D270" s="312"/>
      <c r="E270" s="312"/>
      <c r="F270" s="312"/>
      <c r="G270" s="312"/>
      <c r="H270" s="312"/>
      <c r="I270" s="332" t="s">
        <v>14</v>
      </c>
      <c r="J270" s="332" t="s">
        <v>14</v>
      </c>
    </row>
    <row r="271" spans="2:10">
      <c r="C271" s="312" t="s">
        <v>498</v>
      </c>
      <c r="D271" s="312"/>
      <c r="E271" s="312"/>
      <c r="F271" s="312"/>
      <c r="G271" s="312"/>
      <c r="H271" s="312"/>
      <c r="I271" s="332" t="s">
        <v>14</v>
      </c>
      <c r="J271" s="332" t="s">
        <v>14</v>
      </c>
    </row>
    <row r="272" spans="2:10">
      <c r="C272" s="312" t="s">
        <v>499</v>
      </c>
      <c r="D272" s="312"/>
      <c r="E272" s="312"/>
      <c r="F272" s="312"/>
      <c r="G272" s="312"/>
      <c r="H272" s="312"/>
      <c r="I272" s="332" t="s">
        <v>14</v>
      </c>
      <c r="J272" s="332" t="s">
        <v>14</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I291" s="364" t="s">
        <v>14</v>
      </c>
      <c r="J291" s="364" t="s">
        <v>14</v>
      </c>
      <c r="K291" s="2"/>
      <c r="L291" s="2"/>
      <c r="M291" s="301"/>
      <c r="N291" s="2"/>
      <c r="O291" s="301"/>
    </row>
  </sheetData>
  <sheetProtection selectLockedCells="1"/>
  <mergeCells count="109">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39:D39"/>
    <mergeCell ref="H39:M39"/>
    <mergeCell ref="C40:D40"/>
    <mergeCell ref="H40:M40"/>
    <mergeCell ref="C41:D41"/>
    <mergeCell ref="H41:M41"/>
    <mergeCell ref="C24:D24"/>
    <mergeCell ref="F24:G24"/>
    <mergeCell ref="K24:M24"/>
    <mergeCell ref="C27:M34"/>
    <mergeCell ref="H37:M37"/>
    <mergeCell ref="C38:D38"/>
    <mergeCell ref="H38:M38"/>
    <mergeCell ref="C45:D45"/>
    <mergeCell ref="H45:M45"/>
    <mergeCell ref="C46:D46"/>
    <mergeCell ref="H46:M46"/>
    <mergeCell ref="C47:D47"/>
    <mergeCell ref="H47:M47"/>
    <mergeCell ref="C42:D42"/>
    <mergeCell ref="H42:M42"/>
    <mergeCell ref="C43:D43"/>
    <mergeCell ref="H43:M43"/>
    <mergeCell ref="C44:D44"/>
    <mergeCell ref="H44:M44"/>
    <mergeCell ref="C51:D51"/>
    <mergeCell ref="H51:M51"/>
    <mergeCell ref="C52:D52"/>
    <mergeCell ref="H52:M52"/>
    <mergeCell ref="C53:D53"/>
    <mergeCell ref="H53:M53"/>
    <mergeCell ref="C48:D48"/>
    <mergeCell ref="H48:M48"/>
    <mergeCell ref="C49:D49"/>
    <mergeCell ref="H49:M49"/>
    <mergeCell ref="C50:D50"/>
    <mergeCell ref="H50:M50"/>
    <mergeCell ref="I65:J65"/>
    <mergeCell ref="C57:D57"/>
    <mergeCell ref="H57:M57"/>
    <mergeCell ref="C58:D58"/>
    <mergeCell ref="H58:M58"/>
    <mergeCell ref="I63:J63"/>
    <mergeCell ref="I64:J64"/>
    <mergeCell ref="C54:D54"/>
    <mergeCell ref="H54:M54"/>
    <mergeCell ref="C55:D55"/>
    <mergeCell ref="H55:M55"/>
    <mergeCell ref="C56:D56"/>
    <mergeCell ref="H56:M56"/>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249977111117893"/>
  </sheetPr>
  <dimension ref="A1:H82"/>
  <sheetViews>
    <sheetView topLeftCell="A52" workbookViewId="0">
      <selection activeCell="B9" sqref="B9"/>
    </sheetView>
  </sheetViews>
  <sheetFormatPr baseColWidth="10" defaultColWidth="9.1640625" defaultRowHeight="16" outlineLevelRow="1"/>
  <cols>
    <col min="1" max="1" width="26.1640625" style="26" customWidth="1"/>
    <col min="2" max="2" width="11.83203125" style="26" customWidth="1"/>
    <col min="3" max="3" width="9.33203125" style="52" customWidth="1"/>
    <col min="4" max="4" width="11.5" style="26" customWidth="1"/>
    <col min="5" max="5" width="10" style="52" customWidth="1"/>
    <col min="6" max="6" width="16.83203125" style="26" customWidth="1"/>
    <col min="7" max="7" width="12.83203125" style="52" customWidth="1"/>
    <col min="8" max="8" width="4.6640625" style="26" customWidth="1"/>
    <col min="9" max="9" width="19.5" style="26" customWidth="1"/>
    <col min="10" max="11" width="8.6640625" style="26" customWidth="1"/>
    <col min="12" max="12" width="10.33203125" style="26" customWidth="1"/>
    <col min="13" max="13" width="9.1640625" style="26"/>
    <col min="14" max="14" width="13.6640625" style="26" customWidth="1"/>
    <col min="15" max="16384" width="9.1640625" style="26"/>
  </cols>
  <sheetData>
    <row r="1" spans="1:7" ht="19">
      <c r="A1" s="51" t="s">
        <v>267</v>
      </c>
    </row>
    <row r="2" spans="1:7" ht="19">
      <c r="A2" s="51"/>
    </row>
    <row r="3" spans="1:7" ht="6" customHeight="1" thickBot="1"/>
    <row r="4" spans="1:7" s="50" customFormat="1" ht="19">
      <c r="A4" s="750" t="s">
        <v>146</v>
      </c>
      <c r="B4" s="751"/>
      <c r="C4" s="751"/>
      <c r="D4" s="751"/>
      <c r="E4" s="751"/>
      <c r="F4" s="751"/>
      <c r="G4" s="752"/>
    </row>
    <row r="5" spans="1:7" s="30" customFormat="1" ht="34">
      <c r="A5" s="27" t="s">
        <v>36</v>
      </c>
      <c r="B5" s="28" t="s">
        <v>143</v>
      </c>
      <c r="C5" s="53" t="s">
        <v>33</v>
      </c>
      <c r="D5" s="29" t="s">
        <v>32</v>
      </c>
      <c r="E5" s="53" t="s">
        <v>33</v>
      </c>
      <c r="F5" s="29" t="s">
        <v>233</v>
      </c>
      <c r="G5" s="56" t="s">
        <v>33</v>
      </c>
    </row>
    <row r="6" spans="1:7" s="30" customFormat="1" ht="17">
      <c r="A6" s="31" t="s">
        <v>138</v>
      </c>
      <c r="B6" s="32">
        <f>SUMIF(Detail!V$26:V$56,Detail!V4,Detail!G$26:G$56)</f>
        <v>7</v>
      </c>
      <c r="C6" s="43">
        <f>B6/B$10</f>
        <v>0.29166666666666669</v>
      </c>
      <c r="D6" s="33">
        <f>SUMIF(Detail!V$26:V$56,Detail!V4,Detail!T$26:T$56)</f>
        <v>998</v>
      </c>
      <c r="E6" s="43">
        <f>D6/D$10</f>
        <v>0.36826568265682658</v>
      </c>
      <c r="F6" s="130">
        <f>SUMIF(Detail!V$26:V$56,Detail!V4,Detail!AB$26:AB$56)</f>
        <v>161481105</v>
      </c>
      <c r="G6" s="44">
        <f>F6/F$10</f>
        <v>0.32619659406140661</v>
      </c>
    </row>
    <row r="7" spans="1:7" s="30" customFormat="1" ht="17">
      <c r="A7" s="31" t="s">
        <v>136</v>
      </c>
      <c r="B7" s="32">
        <f>SUMIF(Detail!V$26:V$56,Detail!V2,Detail!G$26:G$56)</f>
        <v>10</v>
      </c>
      <c r="C7" s="43">
        <f>B7/B$10</f>
        <v>0.41666666666666669</v>
      </c>
      <c r="D7" s="33">
        <f>SUMIF(Detail!V$26:V$56,Detail!V3,Detail!T$26:T$56)</f>
        <v>480</v>
      </c>
      <c r="E7" s="43">
        <f>D7/D$10</f>
        <v>0.17712177121771217</v>
      </c>
      <c r="F7" s="130">
        <f>SUMIF(Detail!V$26:V$56,Detail!V3,Detail!AB$26:AB$56)</f>
        <v>101187522</v>
      </c>
      <c r="G7" s="44">
        <f>F7/F$10</f>
        <v>0.20440177838709767</v>
      </c>
    </row>
    <row r="8" spans="1:7" s="30" customFormat="1" ht="17">
      <c r="A8" s="31" t="s">
        <v>882</v>
      </c>
      <c r="B8" s="32">
        <f>SUMIF(Detail!V$26:V$56,Detail!V5,Detail!G$26:G$56)</f>
        <v>0</v>
      </c>
      <c r="C8" s="43">
        <f>B8/B$10</f>
        <v>0</v>
      </c>
      <c r="D8" s="33">
        <f>SUMIF(Detail!V$26:V$56,Detail!V5,Detail!T$26:T$56)</f>
        <v>0</v>
      </c>
      <c r="E8" s="43">
        <f>D8/D$10</f>
        <v>0</v>
      </c>
      <c r="F8" s="130">
        <f>SUMIF(Detail!V$26:V$56,Detail!V5,Detail!AB$26:AB$56)</f>
        <v>0</v>
      </c>
      <c r="G8" s="44">
        <f>F8/F$10</f>
        <v>0</v>
      </c>
    </row>
    <row r="9" spans="1:7" s="30" customFormat="1" ht="18" thickBot="1">
      <c r="A9" s="31" t="s">
        <v>137</v>
      </c>
      <c r="B9" s="32">
        <f>SUMIF(Detail!V$26:V$56,Detail!V3,Detail!G$26:G$56)</f>
        <v>7</v>
      </c>
      <c r="C9" s="43">
        <f>B9/B$10</f>
        <v>0.29166666666666669</v>
      </c>
      <c r="D9" s="33">
        <f>SUMIF(Detail!V$26:V$56,Detail!V2,Detail!T$26:T$56)</f>
        <v>1232</v>
      </c>
      <c r="E9" s="43">
        <f>D9/D$10</f>
        <v>0.45461254612546126</v>
      </c>
      <c r="F9" s="130">
        <f>SUMIF(Detail!V$26:V$56,Detail!V2,Detail!AB$26:AB$56)</f>
        <v>232373651</v>
      </c>
      <c r="G9" s="44">
        <f>F9/F$10</f>
        <v>0.46940162755149573</v>
      </c>
    </row>
    <row r="10" spans="1:7" s="30" customFormat="1" ht="20.25" customHeight="1" thickBot="1">
      <c r="A10" s="35" t="s">
        <v>12</v>
      </c>
      <c r="B10" s="36">
        <f t="shared" ref="B10:G10" si="0">SUM(B6:B9)</f>
        <v>24</v>
      </c>
      <c r="C10" s="54">
        <f t="shared" si="0"/>
        <v>1</v>
      </c>
      <c r="D10" s="37">
        <f t="shared" si="0"/>
        <v>2710</v>
      </c>
      <c r="E10" s="54">
        <f t="shared" si="0"/>
        <v>1</v>
      </c>
      <c r="F10" s="131">
        <f t="shared" si="0"/>
        <v>495042278</v>
      </c>
      <c r="G10" s="57">
        <f t="shared" si="0"/>
        <v>1</v>
      </c>
    </row>
    <row r="11" spans="1:7" s="30" customFormat="1">
      <c r="C11" s="45"/>
      <c r="E11" s="45"/>
      <c r="G11" s="45"/>
    </row>
    <row r="12" spans="1:7" s="30" customFormat="1">
      <c r="C12" s="45"/>
      <c r="E12" s="45"/>
      <c r="G12" s="45"/>
    </row>
    <row r="13" spans="1:7" s="30" customFormat="1">
      <c r="C13" s="45"/>
      <c r="E13" s="45"/>
      <c r="G13" s="45"/>
    </row>
    <row r="14" spans="1:7" s="30" customFormat="1">
      <c r="C14" s="45"/>
      <c r="E14" s="45"/>
      <c r="G14" s="45"/>
    </row>
    <row r="15" spans="1:7" s="30" customFormat="1" ht="13.5" customHeight="1" thickBot="1">
      <c r="C15" s="45"/>
      <c r="E15" s="45"/>
      <c r="G15" s="45"/>
    </row>
    <row r="16" spans="1:7" s="59" customFormat="1" ht="19">
      <c r="A16" s="750" t="s">
        <v>147</v>
      </c>
      <c r="B16" s="751"/>
      <c r="C16" s="751"/>
      <c r="D16" s="751"/>
      <c r="E16" s="751"/>
      <c r="F16" s="751"/>
      <c r="G16" s="752"/>
    </row>
    <row r="17" spans="1:7" s="30" customFormat="1" ht="34">
      <c r="A17" s="39" t="s">
        <v>37</v>
      </c>
      <c r="B17" s="28" t="s">
        <v>143</v>
      </c>
      <c r="C17" s="53" t="s">
        <v>33</v>
      </c>
      <c r="D17" s="29" t="s">
        <v>32</v>
      </c>
      <c r="E17" s="53" t="s">
        <v>33</v>
      </c>
      <c r="F17" s="29" t="s">
        <v>233</v>
      </c>
      <c r="G17" s="56" t="s">
        <v>33</v>
      </c>
    </row>
    <row r="18" spans="1:7" s="30" customFormat="1" ht="17">
      <c r="A18" s="40" t="s">
        <v>8</v>
      </c>
      <c r="B18" s="32">
        <f>+COUNTIF(Detail!C$26:C$56,"chicago")</f>
        <v>14</v>
      </c>
      <c r="C18" s="43">
        <f>B18/B33</f>
        <v>0.58333333333333337</v>
      </c>
      <c r="D18" s="41">
        <f>SUMIF(Detail!C$26:C$56,"chicago",Detail!T$26:T$56)</f>
        <v>2054</v>
      </c>
      <c r="E18" s="43">
        <f>+D18/D$33</f>
        <v>0.75793357933579331</v>
      </c>
      <c r="F18" s="130">
        <f>SUMIF(Detail!C$26:C$56,"chicago",Detail!AB$26:AB$56)</f>
        <v>354667756</v>
      </c>
      <c r="G18" s="44">
        <f>+F18/F$33</f>
        <v>0.7164393260165145</v>
      </c>
    </row>
    <row r="19" spans="1:7" s="30" customFormat="1" ht="17">
      <c r="A19" s="40" t="s">
        <v>20</v>
      </c>
      <c r="B19" s="32">
        <f>+COUNTIF(Detail!C$26:C$56,"milwaukee")</f>
        <v>5</v>
      </c>
      <c r="C19" s="43">
        <f>+B19/B$33</f>
        <v>0.20833333333333334</v>
      </c>
      <c r="D19" s="41">
        <f>SUMIF(Detail!C$26:C$56,"milwaukee",Detail!T$26:T$56)</f>
        <v>316</v>
      </c>
      <c r="E19" s="43">
        <f>+D19/D$33</f>
        <v>0.11660516605166052</v>
      </c>
      <c r="F19" s="130">
        <f>SUMIF(Detail!C$26:C$56,"milwaukee",Detail!AB$26:AB$56)</f>
        <v>43973000</v>
      </c>
      <c r="G19" s="44">
        <f>+F19/F$33</f>
        <v>8.8826756732078543E-2</v>
      </c>
    </row>
    <row r="20" spans="1:7" s="30" customFormat="1" ht="17" outlineLevel="1">
      <c r="A20" s="40" t="s">
        <v>40</v>
      </c>
      <c r="B20" s="32">
        <f>+COUNTIF(Detail!C$26:C$56,"countryside")</f>
        <v>1</v>
      </c>
      <c r="C20" s="43">
        <f>+B20/B$33</f>
        <v>4.1666666666666664E-2</v>
      </c>
      <c r="D20" s="41">
        <f>SUMIF(Detail!C$26:C$56,"countryside",Detail!T$26:T$56)</f>
        <v>70</v>
      </c>
      <c r="E20" s="43">
        <f>+D20/D$33</f>
        <v>2.5830258302583026E-2</v>
      </c>
      <c r="F20" s="130">
        <f>SUMIF(Detail!C$26:C$56,"countryside",Detail!AB$26:AB$56)</f>
        <v>16101522</v>
      </c>
      <c r="G20" s="44">
        <f>+F20/F$33</f>
        <v>3.2525549262279373E-2</v>
      </c>
    </row>
    <row r="21" spans="1:7" s="30" customFormat="1" ht="17" hidden="1" outlineLevel="1">
      <c r="A21" s="40" t="s">
        <v>34</v>
      </c>
      <c r="B21" s="32">
        <f>+COUNTIF(Detail!C$26:C$56,"Aurora")</f>
        <v>0</v>
      </c>
      <c r="C21" s="43" t="e">
        <f>+B21/B$30</f>
        <v>#DIV/0!</v>
      </c>
      <c r="D21" s="41">
        <f>SUMIF(Detail!C$26:C$56,"aurora",Detail!T$26:T$56)</f>
        <v>0</v>
      </c>
      <c r="E21" s="43" t="e">
        <f>+D21/D$30</f>
        <v>#DIV/0!</v>
      </c>
      <c r="F21" s="130">
        <f>SUMIF(Detail!C$26:C$56,"aurora",Detail!AB$26:AB$56)</f>
        <v>0</v>
      </c>
      <c r="G21" s="44" t="e">
        <f>+F21/F$30</f>
        <v>#DIV/0!</v>
      </c>
    </row>
    <row r="22" spans="1:7" s="30" customFormat="1" ht="17" outlineLevel="1">
      <c r="A22" s="40" t="s">
        <v>4</v>
      </c>
      <c r="B22" s="32">
        <f>+COUNTIF(Detail!C$26:C$56,"grayslake")</f>
        <v>1</v>
      </c>
      <c r="C22" s="43">
        <f t="shared" ref="C22:C27" si="1">+B22/B$33</f>
        <v>4.1666666666666664E-2</v>
      </c>
      <c r="D22" s="41">
        <f>SUMIF(Detail!C$26:C$56,"grayslake",Detail!T$26:T$56)</f>
        <v>70</v>
      </c>
      <c r="E22" s="43">
        <f t="shared" ref="E22:E27" si="2">+D22/D$33</f>
        <v>2.5830258302583026E-2</v>
      </c>
      <c r="F22" s="130">
        <f>SUMIF(Detail!C$26:C$56,"grayslake",Detail!AB$26:AB$56)</f>
        <v>21400000</v>
      </c>
      <c r="G22" s="44">
        <f t="shared" ref="G22:G27" si="3">+F22/F$33</f>
        <v>4.3228631070576964E-2</v>
      </c>
    </row>
    <row r="23" spans="1:7" s="30" customFormat="1" ht="15" customHeight="1" outlineLevel="1">
      <c r="A23" s="40" t="s">
        <v>106</v>
      </c>
      <c r="B23" s="32">
        <f>+COUNTIF(Detail!C$26:C$56,"kankakee")</f>
        <v>1</v>
      </c>
      <c r="C23" s="43">
        <f t="shared" si="1"/>
        <v>4.1666666666666664E-2</v>
      </c>
      <c r="D23" s="41">
        <f>SUMIF(Detail!C$26:C$56,"kankakee",Detail!T$26:T$56)</f>
        <v>70</v>
      </c>
      <c r="E23" s="43">
        <f t="shared" si="2"/>
        <v>2.5830258302583026E-2</v>
      </c>
      <c r="F23" s="130">
        <f>SUMIF(Detail!C$26:C$56,"kankakee",Detail!AB$26:AB$56)</f>
        <v>18900000</v>
      </c>
      <c r="G23" s="44">
        <f t="shared" si="3"/>
        <v>3.8178557347378725E-2</v>
      </c>
    </row>
    <row r="24" spans="1:7" s="30" customFormat="1" ht="17">
      <c r="A24" s="40" t="s">
        <v>264</v>
      </c>
      <c r="B24" s="32">
        <f>SUM(B20:B23)</f>
        <v>3</v>
      </c>
      <c r="C24" s="43">
        <f t="shared" si="1"/>
        <v>0.125</v>
      </c>
      <c r="D24" s="32">
        <f>SUM(D20:D23)</f>
        <v>210</v>
      </c>
      <c r="E24" s="43">
        <f t="shared" si="2"/>
        <v>7.7490774907749083E-2</v>
      </c>
      <c r="F24" s="130">
        <f>SUM(F20:F23)</f>
        <v>56401522</v>
      </c>
      <c r="G24" s="44">
        <f t="shared" si="3"/>
        <v>0.11393273768023505</v>
      </c>
    </row>
    <row r="25" spans="1:7" s="30" customFormat="1" ht="17" outlineLevel="1">
      <c r="A25" s="40" t="s">
        <v>5</v>
      </c>
      <c r="B25" s="32">
        <f>+COUNTIF(Detail!C$26:C$56,"danville")</f>
        <v>2</v>
      </c>
      <c r="C25" s="43">
        <f t="shared" si="1"/>
        <v>8.3333333333333329E-2</v>
      </c>
      <c r="D25" s="41">
        <f>SUMIF(Detail!C$26:C$56,"danville",Detail!T$26:T$56)</f>
        <v>130</v>
      </c>
      <c r="E25" s="43">
        <f t="shared" si="2"/>
        <v>4.797047970479705E-2</v>
      </c>
      <c r="F25" s="130">
        <f>SUMIF(Detail!C$26:C$56,"danville",Detail!AB$26:AB$56)</f>
        <v>40000000</v>
      </c>
      <c r="G25" s="44">
        <f t="shared" si="3"/>
        <v>8.0801179571171902E-2</v>
      </c>
    </row>
    <row r="26" spans="1:7" s="30" customFormat="1" ht="17" hidden="1" outlineLevel="1">
      <c r="A26" s="40" t="s">
        <v>126</v>
      </c>
      <c r="B26" s="32">
        <f>+COUNTIF(Detail!C$26:C$56,"indianapolis")</f>
        <v>0</v>
      </c>
      <c r="C26" s="43">
        <f t="shared" si="1"/>
        <v>0</v>
      </c>
      <c r="D26" s="41">
        <f>SUMIF(Detail!C$26:C$56,"indianapolis",Detail!T$26:T$56)</f>
        <v>0</v>
      </c>
      <c r="E26" s="43">
        <f t="shared" si="2"/>
        <v>0</v>
      </c>
      <c r="F26" s="130">
        <f>SUMIF(Detail!C$26:C$56,"indianapolis",Detail!AB$26:AB$56)</f>
        <v>0</v>
      </c>
      <c r="G26" s="44">
        <f t="shared" si="3"/>
        <v>0</v>
      </c>
    </row>
    <row r="27" spans="1:7" s="30" customFormat="1" ht="17" hidden="1" outlineLevel="1">
      <c r="A27" s="40" t="s">
        <v>262</v>
      </c>
      <c r="B27" s="32">
        <f>+COUNTIF(Detail!C$26:C$56,"st louis")</f>
        <v>0</v>
      </c>
      <c r="C27" s="43">
        <f t="shared" si="1"/>
        <v>0</v>
      </c>
      <c r="D27" s="41">
        <f>SUMIF(Detail!C$26:C$56,"st louis",Detail!T$26:T$56)</f>
        <v>0</v>
      </c>
      <c r="E27" s="43">
        <f t="shared" si="2"/>
        <v>0</v>
      </c>
      <c r="F27" s="130">
        <f>SUMIF(Detail!C$26:C$56,"st louis",Detail!AB$26:AB$56)</f>
        <v>0</v>
      </c>
      <c r="G27" s="44">
        <f t="shared" si="3"/>
        <v>0</v>
      </c>
    </row>
    <row r="28" spans="1:7" s="30" customFormat="1" ht="18" thickBot="1">
      <c r="A28" s="40" t="s">
        <v>265</v>
      </c>
      <c r="B28" s="32">
        <f t="shared" ref="B28:G28" si="4">SUM(B25:B27)</f>
        <v>2</v>
      </c>
      <c r="C28" s="43">
        <f t="shared" si="4"/>
        <v>8.3333333333333329E-2</v>
      </c>
      <c r="D28" s="41">
        <f t="shared" si="4"/>
        <v>130</v>
      </c>
      <c r="E28" s="43">
        <f t="shared" si="4"/>
        <v>4.797047970479705E-2</v>
      </c>
      <c r="F28" s="130">
        <f t="shared" si="4"/>
        <v>40000000</v>
      </c>
      <c r="G28" s="44">
        <f t="shared" si="4"/>
        <v>8.0801179571171902E-2</v>
      </c>
    </row>
    <row r="29" spans="1:7" s="30" customFormat="1" hidden="1">
      <c r="A29" s="40"/>
      <c r="B29" s="32"/>
      <c r="C29" s="43"/>
      <c r="D29" s="32"/>
      <c r="E29" s="43"/>
      <c r="F29" s="130"/>
      <c r="G29" s="44"/>
    </row>
    <row r="30" spans="1:7" s="30" customFormat="1" hidden="1">
      <c r="A30" s="40"/>
      <c r="B30" s="32"/>
      <c r="C30" s="43"/>
      <c r="D30" s="32"/>
      <c r="E30" s="43"/>
      <c r="F30" s="130"/>
      <c r="G30" s="44"/>
    </row>
    <row r="31" spans="1:7" s="30" customFormat="1" hidden="1">
      <c r="A31" s="40"/>
      <c r="B31" s="32"/>
      <c r="C31" s="43"/>
      <c r="D31" s="32"/>
      <c r="E31" s="43"/>
      <c r="F31" s="130"/>
      <c r="G31" s="44"/>
    </row>
    <row r="32" spans="1:7" s="30" customFormat="1" ht="17" hidden="1" thickBot="1">
      <c r="A32" s="40"/>
      <c r="B32" s="32"/>
      <c r="C32" s="43"/>
      <c r="D32" s="32"/>
      <c r="E32" s="43"/>
      <c r="F32" s="130"/>
      <c r="G32" s="44"/>
    </row>
    <row r="33" spans="1:8" s="30" customFormat="1" ht="18" customHeight="1" thickBot="1">
      <c r="A33" s="35" t="s">
        <v>35</v>
      </c>
      <c r="B33" s="36">
        <f t="shared" ref="B33:G33" si="5">B18+B19+B24+B28</f>
        <v>24</v>
      </c>
      <c r="C33" s="54">
        <f t="shared" si="5"/>
        <v>1</v>
      </c>
      <c r="D33" s="37">
        <f t="shared" si="5"/>
        <v>2710</v>
      </c>
      <c r="E33" s="54">
        <f t="shared" si="5"/>
        <v>1</v>
      </c>
      <c r="F33" s="131">
        <f t="shared" si="5"/>
        <v>495042278</v>
      </c>
      <c r="G33" s="57">
        <f t="shared" si="5"/>
        <v>1</v>
      </c>
    </row>
    <row r="34" spans="1:8" s="30" customFormat="1">
      <c r="C34" s="45"/>
      <c r="E34" s="45"/>
      <c r="G34" s="45"/>
    </row>
    <row r="35" spans="1:8" s="30" customFormat="1">
      <c r="C35" s="45"/>
      <c r="E35" s="45"/>
      <c r="G35" s="45"/>
    </row>
    <row r="36" spans="1:8" s="30" customFormat="1">
      <c r="C36" s="45"/>
      <c r="E36" s="45"/>
      <c r="G36" s="45"/>
    </row>
    <row r="37" spans="1:8" s="30" customFormat="1">
      <c r="C37" s="45"/>
      <c r="E37" s="45"/>
      <c r="G37" s="45"/>
    </row>
    <row r="38" spans="1:8" s="30" customFormat="1" ht="17" thickBot="1">
      <c r="C38" s="45"/>
      <c r="E38" s="45"/>
      <c r="G38" s="45"/>
    </row>
    <row r="39" spans="1:8" s="59" customFormat="1" ht="19">
      <c r="A39" s="750" t="s">
        <v>148</v>
      </c>
      <c r="B39" s="751"/>
      <c r="C39" s="751"/>
      <c r="D39" s="751"/>
      <c r="E39" s="751"/>
      <c r="F39" s="751"/>
      <c r="G39" s="752"/>
    </row>
    <row r="40" spans="1:8" s="30" customFormat="1" ht="34">
      <c r="A40" s="42"/>
      <c r="B40" s="28" t="s">
        <v>143</v>
      </c>
      <c r="C40" s="53" t="s">
        <v>33</v>
      </c>
      <c r="D40" s="29" t="s">
        <v>32</v>
      </c>
      <c r="E40" s="53" t="s">
        <v>33</v>
      </c>
      <c r="F40" s="29" t="s">
        <v>233</v>
      </c>
      <c r="G40" s="56" t="s">
        <v>33</v>
      </c>
    </row>
    <row r="41" spans="1:8" s="30" customFormat="1" ht="17">
      <c r="A41" s="40" t="s">
        <v>111</v>
      </c>
      <c r="B41" s="32">
        <f>SUMIF(Detail!D$26:D$56,Detail!D4,Detail!G$26:G$56)</f>
        <v>14</v>
      </c>
      <c r="C41" s="43">
        <f>B41/B$46</f>
        <v>0.58333333333333337</v>
      </c>
      <c r="D41" s="33">
        <f>SUMIF(Detail!D$26:D$56,Detail!D4,Detail!T$26:T$56)</f>
        <v>944</v>
      </c>
      <c r="E41" s="43">
        <f>D41/D$46</f>
        <v>0.34833948339483395</v>
      </c>
      <c r="F41" s="130">
        <f>SUMIF(Detail!D$26:D$56,Detail!D4,Detail!AB$26:AB$56)</f>
        <v>193093022</v>
      </c>
      <c r="G41" s="44">
        <f>F41/F$46</f>
        <v>0.39005359861405614</v>
      </c>
    </row>
    <row r="42" spans="1:8" s="30" customFormat="1" ht="17">
      <c r="A42" s="40" t="s">
        <v>247</v>
      </c>
      <c r="B42" s="32">
        <f>SUMIF(Detail!D$26:D$56,Detail!D2,Detail!G$26:G$56)</f>
        <v>2</v>
      </c>
      <c r="C42" s="43">
        <f>B42/B$46</f>
        <v>8.3333333333333329E-2</v>
      </c>
      <c r="D42" s="33">
        <f>SUMIF(Detail!D$26:D$56,Detail!D2,Detail!T$26:T$56)</f>
        <v>441</v>
      </c>
      <c r="E42" s="43">
        <f>D42/D$46</f>
        <v>0.16273062730627305</v>
      </c>
      <c r="F42" s="130">
        <f>SUMIF(Detail!D$26:D$56,Detail!D2,Detail!AB$26:AB$56)</f>
        <v>83136151</v>
      </c>
      <c r="G42" s="44">
        <f>F42/F$46</f>
        <v>0.16793747664517655</v>
      </c>
      <c r="H42" s="45"/>
    </row>
    <row r="43" spans="1:8" s="30" customFormat="1" ht="17">
      <c r="A43" s="40" t="s">
        <v>248</v>
      </c>
      <c r="B43" s="32">
        <f>SUMIF(Detail!D$26:D$56,Detail!D3,Detail!G$26:G$56)</f>
        <v>5</v>
      </c>
      <c r="C43" s="43">
        <f>B43/B$46</f>
        <v>0.20833333333333334</v>
      </c>
      <c r="D43" s="33">
        <f>SUMIF(Detail!D$26:D$56,Detail!D3,Detail!T$26:T$56)</f>
        <v>492</v>
      </c>
      <c r="E43" s="43">
        <f>D43/D$46</f>
        <v>0.18154981549815499</v>
      </c>
      <c r="F43" s="130">
        <f>SUMIF(Detail!D$26:D$56,Detail!D3,Detail!AB$26:AB$56)</f>
        <v>129248000</v>
      </c>
      <c r="G43" s="44">
        <f>F43/F$46</f>
        <v>0.26108477143037062</v>
      </c>
    </row>
    <row r="44" spans="1:8" s="30" customFormat="1" ht="18" thickBot="1">
      <c r="A44" s="40" t="s">
        <v>249</v>
      </c>
      <c r="B44" s="32">
        <f>SUMIF(Detail!D$26:D$56,Detail!D5,Detail!G$26:G$56)</f>
        <v>3</v>
      </c>
      <c r="C44" s="43">
        <f>B44/B$46</f>
        <v>0.125</v>
      </c>
      <c r="D44" s="33">
        <f>SUMIF(Detail!D$26:D$56,Detail!D5,Detail!T$26:T$56)</f>
        <v>833</v>
      </c>
      <c r="E44" s="43">
        <f>D44/D$46</f>
        <v>0.30738007380073801</v>
      </c>
      <c r="F44" s="130">
        <f>SUMIF(Detail!D$26:D$56,Detail!D5,Detail!AB$26:AB$56)</f>
        <v>89565105</v>
      </c>
      <c r="G44" s="44">
        <f>F44/F$46</f>
        <v>0.18092415331039666</v>
      </c>
    </row>
    <row r="45" spans="1:8" s="30" customFormat="1" ht="18" hidden="1" thickBot="1">
      <c r="A45" s="40" t="s">
        <v>152</v>
      </c>
      <c r="B45" s="32">
        <f>SUMIF(Detail!D$38:D$56,Detail!D6,Detail!G$38:G$56)</f>
        <v>0</v>
      </c>
      <c r="C45" s="43">
        <f>B45/B$46</f>
        <v>0</v>
      </c>
      <c r="D45" s="33">
        <f>SUMIF(Detail!D$38:D$56,Detail!D6,Detail!T$38:T$56)</f>
        <v>0</v>
      </c>
      <c r="E45" s="43">
        <f>D45/D$46</f>
        <v>0</v>
      </c>
      <c r="F45" s="130">
        <f>SUMIF(Detail!D$38:D$56,Detail!D6,Detail!AB$38:AB$56)</f>
        <v>0</v>
      </c>
      <c r="G45" s="44">
        <f>F45/F$46</f>
        <v>0</v>
      </c>
    </row>
    <row r="46" spans="1:8" s="30" customFormat="1" ht="19.5" customHeight="1" thickBot="1">
      <c r="A46" s="35" t="s">
        <v>12</v>
      </c>
      <c r="B46" s="36">
        <f t="shared" ref="B46:G46" si="6">SUM(B41:B44)</f>
        <v>24</v>
      </c>
      <c r="C46" s="54">
        <f t="shared" si="6"/>
        <v>1</v>
      </c>
      <c r="D46" s="37">
        <f t="shared" si="6"/>
        <v>2710</v>
      </c>
      <c r="E46" s="54">
        <f t="shared" si="6"/>
        <v>1</v>
      </c>
      <c r="F46" s="131">
        <f t="shared" si="6"/>
        <v>495042278</v>
      </c>
      <c r="G46" s="57">
        <f t="shared" si="6"/>
        <v>1</v>
      </c>
    </row>
    <row r="47" spans="1:8" s="30" customFormat="1">
      <c r="C47" s="45"/>
      <c r="E47" s="45"/>
      <c r="G47" s="45"/>
    </row>
    <row r="48" spans="1:8" s="30" customFormat="1">
      <c r="C48" s="45"/>
      <c r="E48" s="45"/>
      <c r="G48" s="45"/>
    </row>
    <row r="49" spans="1:8" s="30" customFormat="1">
      <c r="C49" s="45"/>
      <c r="E49" s="45"/>
      <c r="G49" s="45"/>
    </row>
    <row r="50" spans="1:8" s="30" customFormat="1">
      <c r="C50" s="45"/>
      <c r="E50" s="45"/>
      <c r="G50" s="45"/>
    </row>
    <row r="51" spans="1:8" s="30" customFormat="1">
      <c r="C51" s="45"/>
      <c r="E51" s="45"/>
      <c r="G51" s="45"/>
    </row>
    <row r="52" spans="1:8" s="30" customFormat="1">
      <c r="C52" s="45"/>
      <c r="E52" s="45"/>
      <c r="G52" s="45"/>
    </row>
    <row r="53" spans="1:8" s="30" customFormat="1">
      <c r="C53" s="45"/>
      <c r="E53" s="45"/>
      <c r="G53" s="45"/>
    </row>
    <row r="54" spans="1:8" s="30" customFormat="1">
      <c r="C54" s="45"/>
      <c r="E54" s="45"/>
      <c r="G54" s="45"/>
    </row>
    <row r="55" spans="1:8" s="30" customFormat="1">
      <c r="C55" s="45"/>
      <c r="E55" s="45"/>
      <c r="G55" s="45"/>
    </row>
    <row r="56" spans="1:8" s="30" customFormat="1" ht="17" thickBot="1">
      <c r="C56" s="45"/>
      <c r="E56" s="45"/>
      <c r="G56" s="45"/>
    </row>
    <row r="57" spans="1:8" s="59" customFormat="1" ht="20" thickBot="1">
      <c r="A57" s="750" t="s">
        <v>149</v>
      </c>
      <c r="B57" s="751"/>
      <c r="C57" s="751"/>
      <c r="D57" s="751"/>
      <c r="E57" s="751"/>
      <c r="F57" s="751"/>
      <c r="G57" s="752"/>
    </row>
    <row r="58" spans="1:8" s="30" customFormat="1" ht="34">
      <c r="A58" s="46" t="s">
        <v>45</v>
      </c>
      <c r="B58" s="47" t="s">
        <v>143</v>
      </c>
      <c r="C58" s="55" t="s">
        <v>33</v>
      </c>
      <c r="D58" s="48" t="s">
        <v>42</v>
      </c>
      <c r="E58" s="55" t="s">
        <v>33</v>
      </c>
      <c r="F58" s="29" t="s">
        <v>233</v>
      </c>
      <c r="G58" s="58" t="s">
        <v>33</v>
      </c>
    </row>
    <row r="59" spans="1:8" s="30" customFormat="1" ht="17">
      <c r="A59" s="40" t="s">
        <v>115</v>
      </c>
      <c r="B59" s="32">
        <f>SUMIF(Detail!F$26:F$56,Detail!F7,Detail!G$26:G$56)</f>
        <v>6</v>
      </c>
      <c r="C59" s="43">
        <f>B59/$B$65</f>
        <v>0.25</v>
      </c>
      <c r="D59" s="33">
        <f>SUMIF(Detail!F$26:F$56,Detail!F7,Detail!T$26:T$56)</f>
        <v>555</v>
      </c>
      <c r="E59" s="43">
        <f t="shared" ref="E59:E64" si="7">D59/D$65</f>
        <v>0.20479704797047971</v>
      </c>
      <c r="F59" s="130">
        <f>SUMIF(Detail!F$26:F$56,Detail!F7,Detail!AB$26:AB$56)</f>
        <v>111325000</v>
      </c>
      <c r="G59" s="44">
        <f t="shared" ref="G59:G64" si="8">F59/F$65</f>
        <v>0.2248797828940178</v>
      </c>
    </row>
    <row r="60" spans="1:8" s="30" customFormat="1" ht="17">
      <c r="A60" s="40" t="s">
        <v>54</v>
      </c>
      <c r="B60" s="32">
        <f>SUMIF(Detail!F$26:F$56,Detail!F4,Detail!G$26:G$56)</f>
        <v>6</v>
      </c>
      <c r="C60" s="43">
        <f>B60/$B$65</f>
        <v>0.25</v>
      </c>
      <c r="D60" s="33">
        <f>SUMIF(Detail!F$26:F$56,Detail!F4,Detail!T$26:T$56)</f>
        <v>894</v>
      </c>
      <c r="E60" s="43">
        <f t="shared" si="7"/>
        <v>0.3298892988929889</v>
      </c>
      <c r="F60" s="130">
        <f>SUMIF(Detail!F$26:F$56,Detail!F4,Detail!AB$26:AB$56)</f>
        <v>114465105</v>
      </c>
      <c r="G60" s="44">
        <f t="shared" si="8"/>
        <v>0.23122288759345117</v>
      </c>
    </row>
    <row r="61" spans="1:8" s="30" customFormat="1" ht="17">
      <c r="A61" s="40" t="s">
        <v>112</v>
      </c>
      <c r="B61" s="32">
        <f>SUMIF(Detail!F$26:F$56,Detail!F3,Detail!G$26:G$56)</f>
        <v>4</v>
      </c>
      <c r="C61" s="43">
        <f t="shared" ref="C61:C64" si="9">B61/$B$65</f>
        <v>0.16666666666666666</v>
      </c>
      <c r="D61" s="33">
        <f>SUMIF(Detail!F$26:F$56,Detail!F3,Detail!T$26:T$56)</f>
        <v>361</v>
      </c>
      <c r="E61" s="43">
        <f t="shared" si="7"/>
        <v>0.13321033210332103</v>
      </c>
      <c r="F61" s="130">
        <f>SUMIF(Detail!F$26:F$56,Detail!F3,Detail!AB$26:AB$56)</f>
        <v>85100000</v>
      </c>
      <c r="G61" s="44">
        <f t="shared" si="8"/>
        <v>0.17190450953766823</v>
      </c>
    </row>
    <row r="62" spans="1:8" s="30" customFormat="1" ht="17">
      <c r="A62" s="40" t="s">
        <v>116</v>
      </c>
      <c r="B62" s="32">
        <f>SUMIF(Detail!F$26:F$56,Detail!F2,Detail!G$26:G$56)</f>
        <v>2</v>
      </c>
      <c r="C62" s="43">
        <f t="shared" si="9"/>
        <v>8.3333333333333329E-2</v>
      </c>
      <c r="D62" s="33">
        <f>SUMIF(Detail!F$26:F$56,Detail!F2,Detail!T$26:T$56)</f>
        <v>280</v>
      </c>
      <c r="E62" s="43">
        <f t="shared" si="7"/>
        <v>0.10332103321033211</v>
      </c>
      <c r="F62" s="130">
        <f>SUMIF(Detail!F$26:F$56,Detail!F2,Detail!AB$26:AB$56)</f>
        <v>51536151</v>
      </c>
      <c r="G62" s="44">
        <f t="shared" si="8"/>
        <v>0.10410454478395076</v>
      </c>
      <c r="H62" s="45"/>
    </row>
    <row r="63" spans="1:8" s="30" customFormat="1" ht="17">
      <c r="A63" s="40" t="s">
        <v>229</v>
      </c>
      <c r="B63" s="32">
        <f>SUMIF(Detail!F$26:F$56,Detail!F5,Detail!G$26:G$56)</f>
        <v>1</v>
      </c>
      <c r="C63" s="43">
        <f t="shared" si="9"/>
        <v>4.1666666666666664E-2</v>
      </c>
      <c r="D63" s="33">
        <f>SUMIF(Detail!F$26:F$56,Detail!F5,Detail!T$26:T$56)</f>
        <v>231</v>
      </c>
      <c r="E63" s="43">
        <f t="shared" si="7"/>
        <v>8.5239852398523983E-2</v>
      </c>
      <c r="F63" s="130">
        <f>SUMIF(Detail!F$26:F$56,Detail!F5,Detail!AB$26:AB$56)</f>
        <v>53000000</v>
      </c>
      <c r="G63" s="44">
        <f t="shared" si="8"/>
        <v>0.10706156293180277</v>
      </c>
    </row>
    <row r="64" spans="1:8" s="30" customFormat="1" ht="18" thickBot="1">
      <c r="A64" s="40" t="s">
        <v>230</v>
      </c>
      <c r="B64" s="32">
        <f>SUMIF(Detail!F$26:F$56,Detail!F6,Detail!G$26:G$56)</f>
        <v>5</v>
      </c>
      <c r="C64" s="43">
        <f t="shared" si="9"/>
        <v>0.20833333333333334</v>
      </c>
      <c r="D64" s="33">
        <f>SUMIF(Detail!F$26:F$56,Detail!F6,Detail!T$26:T$56)</f>
        <v>389</v>
      </c>
      <c r="E64" s="43">
        <f t="shared" si="7"/>
        <v>0.14354243542435424</v>
      </c>
      <c r="F64" s="130">
        <f>SUMIF(Detail!F$26:F$56,Detail!F6,Detail!AB$26:AB$56)</f>
        <v>79616022</v>
      </c>
      <c r="G64" s="44">
        <f t="shared" si="8"/>
        <v>0.1608267122591093</v>
      </c>
    </row>
    <row r="65" spans="1:7" s="30" customFormat="1" ht="21" customHeight="1" thickBot="1">
      <c r="A65" s="35" t="s">
        <v>12</v>
      </c>
      <c r="B65" s="36">
        <f t="shared" ref="B65:G65" si="10">SUM(B59:B64)</f>
        <v>24</v>
      </c>
      <c r="C65" s="54">
        <f t="shared" si="10"/>
        <v>1</v>
      </c>
      <c r="D65" s="37">
        <f t="shared" si="10"/>
        <v>2710</v>
      </c>
      <c r="E65" s="54">
        <f t="shared" si="10"/>
        <v>1</v>
      </c>
      <c r="F65" s="131">
        <f t="shared" si="10"/>
        <v>495042278</v>
      </c>
      <c r="G65" s="57">
        <f t="shared" si="10"/>
        <v>1.0000000000000002</v>
      </c>
    </row>
    <row r="66" spans="1:7" s="30" customFormat="1">
      <c r="C66" s="45"/>
      <c r="E66" s="45"/>
      <c r="G66" s="45"/>
    </row>
    <row r="67" spans="1:7" s="30" customFormat="1">
      <c r="C67" s="45"/>
      <c r="E67" s="45"/>
      <c r="G67" s="45"/>
    </row>
    <row r="68" spans="1:7" s="30" customFormat="1">
      <c r="C68" s="45"/>
      <c r="E68" s="45"/>
      <c r="G68" s="45"/>
    </row>
    <row r="69" spans="1:7" s="30" customFormat="1">
      <c r="C69" s="45"/>
      <c r="E69" s="45"/>
      <c r="G69" s="45"/>
    </row>
    <row r="70" spans="1:7" s="30" customFormat="1" ht="17" thickBot="1">
      <c r="C70" s="45"/>
      <c r="E70" s="45"/>
      <c r="G70" s="45"/>
    </row>
    <row r="71" spans="1:7" s="59" customFormat="1" ht="19">
      <c r="A71" s="750" t="s">
        <v>238</v>
      </c>
      <c r="B71" s="751"/>
      <c r="C71" s="751"/>
      <c r="D71" s="751"/>
      <c r="E71" s="751"/>
      <c r="F71" s="751"/>
      <c r="G71" s="752"/>
    </row>
    <row r="72" spans="1:7" s="30" customFormat="1" ht="51">
      <c r="A72" s="138" t="s">
        <v>145</v>
      </c>
      <c r="B72" s="29" t="s">
        <v>144</v>
      </c>
      <c r="C72" s="53" t="s">
        <v>33</v>
      </c>
      <c r="D72" s="29" t="s">
        <v>42</v>
      </c>
      <c r="E72" s="53" t="s">
        <v>33</v>
      </c>
      <c r="F72" s="29" t="s">
        <v>233</v>
      </c>
      <c r="G72" s="56" t="s">
        <v>232</v>
      </c>
    </row>
    <row r="73" spans="1:7" s="30" customFormat="1">
      <c r="A73" s="173">
        <v>2011</v>
      </c>
      <c r="B73" s="32">
        <f>SUMIF(Detail!O$26:O$56,Detail!O2,Detail!G$26:G$56)</f>
        <v>2</v>
      </c>
      <c r="C73" s="43">
        <f t="shared" ref="C73:C78" si="11">B73/B$79</f>
        <v>0.1111111111111111</v>
      </c>
      <c r="D73" s="33">
        <f>SUMIF(Detail!O$26:O$56,Detail!O2,Detail!T$26:T$56)</f>
        <v>280</v>
      </c>
      <c r="E73" s="43">
        <f t="shared" ref="E73:E78" si="12">D73/D$79</f>
        <v>0.13397129186602871</v>
      </c>
      <c r="F73" s="34">
        <f>SUMIF(Detail!O$26:O$56,Detail!O2,Detail!AB$26:AB$56)</f>
        <v>51536151</v>
      </c>
      <c r="G73" s="132">
        <f>Detail!AR57</f>
        <v>1404313</v>
      </c>
    </row>
    <row r="74" spans="1:7" s="30" customFormat="1">
      <c r="A74" s="173">
        <v>2012</v>
      </c>
      <c r="B74" s="32">
        <f>SUMIF(Detail!O$26:O$56,Detail!O3,Detail!G$26:G$56)</f>
        <v>4</v>
      </c>
      <c r="C74" s="43">
        <f t="shared" si="11"/>
        <v>0.22222222222222221</v>
      </c>
      <c r="D74" s="33">
        <f>SUMIF(Detail!O$26:O$56,Detail!O3,Detail!T$26:T$56)</f>
        <v>820</v>
      </c>
      <c r="E74" s="43">
        <f t="shared" si="12"/>
        <v>0.3923444976076555</v>
      </c>
      <c r="F74" s="34">
        <f>SUMIF(Detail!O$26:O$56,Detail!O3,Detail!AB$26:AB$56)</f>
        <v>161652605</v>
      </c>
      <c r="G74" s="132">
        <f>Detail!BG57</f>
        <v>2887333.8</v>
      </c>
    </row>
    <row r="75" spans="1:7" s="30" customFormat="1">
      <c r="A75" s="173">
        <v>2013</v>
      </c>
      <c r="B75" s="32">
        <f>SUMIF(Detail!O$26:O$56,Detail!O4,Detail!G$26:G$56)</f>
        <v>7</v>
      </c>
      <c r="C75" s="43">
        <f t="shared" si="11"/>
        <v>0.3888888888888889</v>
      </c>
      <c r="D75" s="33">
        <f>SUMIF(Detail!O$26:O$56,Detail!O4,Detail!T$26:T$56)</f>
        <v>805</v>
      </c>
      <c r="E75" s="43">
        <f t="shared" si="12"/>
        <v>0.38516746411483255</v>
      </c>
      <c r="F75" s="34">
        <f>SUMIF(Detail!O$26:O$56,Detail!O4,Detail!AB$26:AB$56)</f>
        <v>129237500</v>
      </c>
      <c r="G75" s="132">
        <f>Detail!BH57</f>
        <v>2997473.5</v>
      </c>
    </row>
    <row r="76" spans="1:7" s="30" customFormat="1">
      <c r="A76" s="173">
        <v>2014</v>
      </c>
      <c r="B76" s="32">
        <f>SUMIF(Detail!O$26:O$56,Detail!O5,Detail!G$26:G$56)</f>
        <v>3</v>
      </c>
      <c r="C76" s="43">
        <f t="shared" si="11"/>
        <v>0.16666666666666666</v>
      </c>
      <c r="D76" s="33">
        <f>SUMIF(Detail!O$26:O$56,Detail!O5,Detail!T$26:T$56)</f>
        <v>185</v>
      </c>
      <c r="E76" s="43">
        <f t="shared" si="12"/>
        <v>8.8516746411483258E-2</v>
      </c>
      <c r="F76" s="34">
        <f>SUMIF(Detail!O$26:O$56,Detail!O5,Detail!AB$26:AB$56)</f>
        <v>20000000</v>
      </c>
      <c r="G76" s="132">
        <f>Detail!BI57</f>
        <v>5110925.875</v>
      </c>
    </row>
    <row r="77" spans="1:7" s="30" customFormat="1">
      <c r="A77" s="173">
        <v>2015</v>
      </c>
      <c r="B77" s="32">
        <f>SUMIF(Detail!O$26:O$56,Detail!O6,Detail!G$26:G$56)</f>
        <v>2</v>
      </c>
      <c r="C77" s="43">
        <f t="shared" si="11"/>
        <v>0.1111111111111111</v>
      </c>
      <c r="D77" s="33">
        <f>SUMIF(Detail!O$26:O$56,Detail!O6,Detail!T$26:T$56)</f>
        <v>0</v>
      </c>
      <c r="E77" s="43">
        <f t="shared" si="12"/>
        <v>0</v>
      </c>
      <c r="F77" s="34">
        <f>SUMIF(Detail!O$26:O$56,Detail!O6,Detail!AB$26:AB$56)</f>
        <v>0</v>
      </c>
      <c r="G77" s="132">
        <f>Detail!BJ57</f>
        <v>4959785.875</v>
      </c>
    </row>
    <row r="78" spans="1:7" s="30" customFormat="1" ht="17" thickBot="1">
      <c r="A78" s="173">
        <v>2016</v>
      </c>
      <c r="B78" s="32">
        <f>SUMIF(Detail!O$26:O$56,Detail!O7,Detail!G$26:G$56)</f>
        <v>0</v>
      </c>
      <c r="C78" s="43">
        <f t="shared" si="11"/>
        <v>0</v>
      </c>
      <c r="D78" s="33">
        <f>SUMIF(Detail!O$26:O$56,Detail!O7,Detail!T$26:T$56)</f>
        <v>0</v>
      </c>
      <c r="E78" s="43">
        <f t="shared" si="12"/>
        <v>0</v>
      </c>
      <c r="F78" s="34">
        <f>SUMIF(Detail!O$26:O$56,Detail!O7,Detail!AB$26:AB$56)</f>
        <v>0</v>
      </c>
      <c r="G78" s="132">
        <f>Detail!BK57</f>
        <v>2815393.75</v>
      </c>
    </row>
    <row r="79" spans="1:7" s="30" customFormat="1" ht="18.75" customHeight="1" thickBot="1">
      <c r="A79" s="35" t="s">
        <v>35</v>
      </c>
      <c r="B79" s="36">
        <f>SUM(B73:B78)</f>
        <v>18</v>
      </c>
      <c r="C79" s="54">
        <f t="shared" ref="C79:G79" si="13">SUM(C73:C78)</f>
        <v>1</v>
      </c>
      <c r="D79" s="37">
        <f t="shared" si="13"/>
        <v>2090</v>
      </c>
      <c r="E79" s="54">
        <f t="shared" si="13"/>
        <v>0.99999999999999989</v>
      </c>
      <c r="F79" s="38">
        <f t="shared" si="13"/>
        <v>362426256</v>
      </c>
      <c r="G79" s="133">
        <f t="shared" si="13"/>
        <v>20175225.800000001</v>
      </c>
    </row>
    <row r="80" spans="1:7" s="30" customFormat="1">
      <c r="A80" s="49" t="s">
        <v>150</v>
      </c>
      <c r="C80" s="45"/>
      <c r="E80" s="45"/>
      <c r="G80" s="45"/>
    </row>
    <row r="81" spans="1:7" s="30" customFormat="1" ht="15" customHeight="1">
      <c r="A81" s="49" t="s">
        <v>239</v>
      </c>
      <c r="C81" s="45"/>
      <c r="E81" s="45"/>
      <c r="G81" s="45"/>
    </row>
    <row r="82" spans="1:7" s="30" customFormat="1" ht="15" customHeight="1">
      <c r="C82" s="45"/>
      <c r="E82" s="45"/>
      <c r="G82" s="45"/>
    </row>
  </sheetData>
  <mergeCells count="5">
    <mergeCell ref="A39:G39"/>
    <mergeCell ref="A57:G57"/>
    <mergeCell ref="A71:G71"/>
    <mergeCell ref="A16:G16"/>
    <mergeCell ref="A4:G4"/>
  </mergeCells>
  <printOptions horizontalCentered="1"/>
  <pageMargins left="0.17" right="0.2" top="0.38" bottom="0.34" header="0.17" footer="0.16"/>
  <pageSetup scale="85" orientation="landscape" r:id="rId1"/>
  <headerFooter>
    <oddHeader>&amp;C&amp;"-,Bold"&amp;14MERCY HOUSING LAKEFRONT - ACTIVE PIPELINE SUMMARY</oddHeader>
    <oddFooter>&amp;C&amp;D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8">
    <tabColor rgb="FF00B0F0"/>
  </sheetPr>
  <dimension ref="B1:U291"/>
  <sheetViews>
    <sheetView topLeftCell="A4" workbookViewId="0">
      <selection activeCell="L12" sqref="L12:M12"/>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Detail!A41</f>
        <v>Danville VA Hospital Site</v>
      </c>
      <c r="D2" s="341"/>
      <c r="E2" s="341"/>
      <c r="F2" s="120"/>
      <c r="G2" s="120"/>
      <c r="H2" s="120"/>
      <c r="I2" s="120"/>
      <c r="J2" s="120"/>
      <c r="K2" s="120"/>
      <c r="L2" s="120"/>
      <c r="M2" s="121"/>
      <c r="N2" s="319"/>
    </row>
    <row r="3" spans="2:21" s="122" customFormat="1" ht="20.25" customHeight="1" thickBot="1">
      <c r="B3" s="319"/>
      <c r="C3" s="136" t="str">
        <f>Detail!B41</f>
        <v>D Lyon</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Detail!V41</f>
        <v>Special Needs (PSH)</v>
      </c>
      <c r="G6" s="836"/>
      <c r="H6" s="357"/>
      <c r="I6" s="833" t="s">
        <v>219</v>
      </c>
      <c r="J6" s="834"/>
      <c r="K6" s="834"/>
      <c r="L6" s="837" t="str">
        <f>Detail!I41</f>
        <v>LIHTC - 9%</v>
      </c>
      <c r="M6" s="838"/>
      <c r="N6" s="318"/>
    </row>
    <row r="7" spans="2:21" ht="17.25" customHeight="1">
      <c r="B7" s="318"/>
      <c r="C7" s="796" t="s">
        <v>214</v>
      </c>
      <c r="D7" s="797"/>
      <c r="E7" s="352"/>
      <c r="F7" s="819" t="str">
        <f>Detail!C41</f>
        <v>Danville</v>
      </c>
      <c r="G7" s="820"/>
      <c r="H7" s="357"/>
      <c r="I7" s="796" t="s">
        <v>183</v>
      </c>
      <c r="J7" s="797"/>
      <c r="K7" s="797"/>
      <c r="L7" s="830" t="str">
        <f>Detail!J41</f>
        <v>Local: State Funding</v>
      </c>
      <c r="M7" s="831"/>
      <c r="N7" s="318"/>
    </row>
    <row r="8" spans="2:21">
      <c r="B8" s="318"/>
      <c r="C8" s="796" t="s">
        <v>9</v>
      </c>
      <c r="D8" s="797"/>
      <c r="E8" s="352"/>
      <c r="F8" s="819" t="str">
        <f>Detail!D41</f>
        <v>New Construction</v>
      </c>
      <c r="G8" s="820"/>
      <c r="H8" s="357"/>
      <c r="I8" s="796" t="s">
        <v>184</v>
      </c>
      <c r="J8" s="797"/>
      <c r="K8" s="797"/>
      <c r="L8" s="830" t="str">
        <f>Detail!K41</f>
        <v>Grant Funding - Public or Private</v>
      </c>
      <c r="M8" s="831"/>
      <c r="N8" s="318"/>
    </row>
    <row r="9" spans="2:21">
      <c r="B9" s="318"/>
      <c r="C9" s="796" t="s">
        <v>215</v>
      </c>
      <c r="D9" s="797"/>
      <c r="E9" s="353"/>
      <c r="F9" s="832">
        <f>Detail!T41</f>
        <v>65</v>
      </c>
      <c r="G9" s="820"/>
      <c r="H9" s="357"/>
      <c r="I9" s="796" t="s">
        <v>185</v>
      </c>
      <c r="J9" s="797"/>
      <c r="K9" s="797"/>
      <c r="L9" s="830" t="str">
        <f>Detail!L41</f>
        <v>Grant Funding - Public or Private</v>
      </c>
      <c r="M9" s="831"/>
      <c r="N9" s="318"/>
    </row>
    <row r="10" spans="2:21" ht="17.25" customHeight="1">
      <c r="B10" s="318"/>
      <c r="C10" s="796" t="s">
        <v>216</v>
      </c>
      <c r="D10" s="797"/>
      <c r="E10" s="352"/>
      <c r="F10" s="819" t="str">
        <f>Detail!V41</f>
        <v>Special Needs (PSH)</v>
      </c>
      <c r="G10" s="820"/>
      <c r="H10" s="357"/>
      <c r="I10" s="796" t="s">
        <v>44</v>
      </c>
      <c r="J10" s="797"/>
      <c r="K10" s="797"/>
      <c r="L10" s="800">
        <f>Detail!AB41</f>
        <v>20000000</v>
      </c>
      <c r="M10" s="801"/>
      <c r="N10" s="318"/>
    </row>
    <row r="11" spans="2:21" ht="17.25" customHeight="1">
      <c r="B11" s="318"/>
      <c r="C11" s="361"/>
      <c r="D11" s="362"/>
      <c r="E11" s="352"/>
      <c r="F11" s="819" t="str">
        <f>Detail!W41</f>
        <v>Vets</v>
      </c>
      <c r="G11" s="820"/>
      <c r="H11" s="357"/>
      <c r="I11" s="796" t="s">
        <v>602</v>
      </c>
      <c r="J11" s="797"/>
      <c r="K11" s="530"/>
      <c r="L11" s="828" t="str">
        <f>Detail!AG41</f>
        <v>TBD</v>
      </c>
      <c r="M11" s="829"/>
      <c r="N11" s="318"/>
    </row>
    <row r="12" spans="2:21">
      <c r="B12" s="318"/>
      <c r="C12" s="361"/>
      <c r="D12" s="362"/>
      <c r="E12" s="352"/>
      <c r="F12" s="819" t="str">
        <f>Detail!X41</f>
        <v>Homeless</v>
      </c>
      <c r="G12" s="820"/>
      <c r="H12" s="357"/>
      <c r="I12" s="796" t="s">
        <v>603</v>
      </c>
      <c r="J12" s="797"/>
      <c r="K12" s="797"/>
      <c r="L12" s="828" t="str">
        <f>Detail!N41</f>
        <v>TBD</v>
      </c>
      <c r="M12" s="829"/>
      <c r="N12" s="318"/>
    </row>
    <row r="13" spans="2:21" ht="17.25" customHeight="1">
      <c r="B13" s="318"/>
      <c r="C13" s="796" t="s">
        <v>525</v>
      </c>
      <c r="D13" s="797"/>
      <c r="E13" s="354"/>
      <c r="F13" s="827" t="str">
        <f>Detail!AM41</f>
        <v>MHMG</v>
      </c>
      <c r="G13" s="820"/>
      <c r="H13" s="357"/>
      <c r="I13" s="796" t="s">
        <v>256</v>
      </c>
      <c r="J13" s="797"/>
      <c r="K13" s="797"/>
      <c r="L13" s="800">
        <f>Detail!AC41</f>
        <v>18500000</v>
      </c>
      <c r="M13" s="801"/>
      <c r="N13" s="318"/>
    </row>
    <row r="14" spans="2:21" ht="35.25" customHeight="1">
      <c r="B14" s="318"/>
      <c r="C14" s="796" t="s">
        <v>172</v>
      </c>
      <c r="D14" s="797"/>
      <c r="E14" s="352"/>
      <c r="F14" s="819" t="str">
        <f>Detail!Z41</f>
        <v>Case Management - 3rd party</v>
      </c>
      <c r="G14" s="820"/>
      <c r="H14" s="357"/>
      <c r="I14" s="796" t="s">
        <v>257</v>
      </c>
      <c r="J14" s="797"/>
      <c r="K14" s="797"/>
      <c r="L14" s="800">
        <f>Detail!AF41</f>
        <v>17279000</v>
      </c>
      <c r="M14" s="801"/>
      <c r="N14" s="318"/>
    </row>
    <row r="15" spans="2:21" ht="17.25" customHeight="1" thickBot="1">
      <c r="B15" s="318"/>
      <c r="C15" s="796" t="s">
        <v>217</v>
      </c>
      <c r="D15" s="797"/>
      <c r="E15" s="355"/>
      <c r="F15" s="819" t="str">
        <f>Detail!AA41</f>
        <v>TBD</v>
      </c>
      <c r="G15" s="820"/>
      <c r="H15" s="357"/>
      <c r="I15" s="821" t="s">
        <v>255</v>
      </c>
      <c r="J15" s="822"/>
      <c r="K15" s="822"/>
      <c r="L15" s="823">
        <f>Detail!AD41</f>
        <v>1850000</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Detail!AH41</f>
        <v>1737500</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Detail!AJ41</f>
        <v>1303125</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Detail!AI41</f>
        <v>434375</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6" thickTop="1">
      <c r="B21" s="320"/>
      <c r="C21" s="804" t="s">
        <v>46</v>
      </c>
      <c r="D21" s="805"/>
      <c r="E21" s="349"/>
      <c r="F21" s="806" t="str">
        <f>Detail!F41</f>
        <v>Feasibility</v>
      </c>
      <c r="G21" s="807"/>
      <c r="H21" s="359"/>
      <c r="I21" s="804" t="s">
        <v>226</v>
      </c>
      <c r="J21" s="805"/>
      <c r="K21" s="805"/>
      <c r="L21" s="808">
        <f>Detail!Q41</f>
        <v>0</v>
      </c>
      <c r="M21" s="809"/>
      <c r="N21" s="320"/>
    </row>
    <row r="22" spans="2:21" s="88" customFormat="1" ht="17.25" customHeight="1">
      <c r="B22" s="320"/>
      <c r="C22" s="796" t="s">
        <v>223</v>
      </c>
      <c r="D22" s="797"/>
      <c r="E22" s="348"/>
      <c r="F22" s="798">
        <f>Detail!P41</f>
        <v>41244</v>
      </c>
      <c r="G22" s="799"/>
      <c r="H22" s="359"/>
      <c r="I22" s="796" t="s">
        <v>227</v>
      </c>
      <c r="J22" s="797"/>
      <c r="K22" s="797"/>
      <c r="L22" s="800">
        <f>Detail!AO41+Detail!AP41+Detail!AQ41+Detail!AR41</f>
        <v>0</v>
      </c>
      <c r="M22" s="801"/>
      <c r="N22" s="320"/>
    </row>
    <row r="23" spans="2:21" s="88" customFormat="1" ht="17.25" customHeight="1">
      <c r="B23" s="320"/>
      <c r="C23" s="796" t="s">
        <v>224</v>
      </c>
      <c r="D23" s="797"/>
      <c r="E23" s="348"/>
      <c r="F23" s="798">
        <f>Detail!R41</f>
        <v>41275</v>
      </c>
      <c r="G23" s="799"/>
      <c r="H23" s="359"/>
      <c r="I23" s="796" t="s">
        <v>228</v>
      </c>
      <c r="J23" s="797"/>
      <c r="K23" s="797"/>
      <c r="L23" s="800">
        <f>Detail!BG41</f>
        <v>162890.5</v>
      </c>
      <c r="M23" s="801"/>
      <c r="N23" s="320"/>
    </row>
    <row r="24" spans="2:21" s="88" customFormat="1" ht="17.25" customHeight="1" thickBot="1">
      <c r="B24" s="320"/>
      <c r="C24" s="778" t="s">
        <v>225</v>
      </c>
      <c r="D24" s="779"/>
      <c r="E24" s="533"/>
      <c r="F24" s="780">
        <f>Detail!S41</f>
        <v>41639</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Danville VA Hospital Site</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ht="14">
      <c r="B38" s="322"/>
      <c r="C38" s="792" t="s">
        <v>514</v>
      </c>
      <c r="D38" s="793"/>
      <c r="E38" s="344"/>
      <c r="F38" s="368">
        <f>I92</f>
        <v>40543</v>
      </c>
      <c r="G38" s="368">
        <f>J92</f>
        <v>40543</v>
      </c>
      <c r="H38" s="794"/>
      <c r="I38" s="794"/>
      <c r="J38" s="794"/>
      <c r="K38" s="794"/>
      <c r="L38" s="794"/>
      <c r="M38" s="795"/>
      <c r="N38" s="322"/>
    </row>
    <row r="39" spans="2:19" s="300" customFormat="1" ht="12.75" customHeight="1">
      <c r="B39" s="322"/>
      <c r="C39" s="774" t="s">
        <v>516</v>
      </c>
      <c r="D39" s="775"/>
      <c r="E39" s="532"/>
      <c r="F39" s="368">
        <f>I94</f>
        <v>41072</v>
      </c>
      <c r="G39" s="369" t="str">
        <f>J94</f>
        <v>TBD</v>
      </c>
      <c r="H39" s="772"/>
      <c r="I39" s="772"/>
      <c r="J39" s="772"/>
      <c r="K39" s="772"/>
      <c r="L39" s="772"/>
      <c r="M39" s="773"/>
      <c r="N39" s="322"/>
    </row>
    <row r="40" spans="2:19" s="300" customFormat="1">
      <c r="B40" s="322"/>
      <c r="C40" s="774" t="s">
        <v>344</v>
      </c>
      <c r="D40" s="775"/>
      <c r="E40" s="532"/>
      <c r="F40" s="368" t="str">
        <f>I96</f>
        <v>TBD</v>
      </c>
      <c r="G40" s="368" t="str">
        <f>J96</f>
        <v>TBD</v>
      </c>
      <c r="H40" s="772"/>
      <c r="I40" s="772"/>
      <c r="J40" s="772"/>
      <c r="K40" s="772"/>
      <c r="L40" s="772"/>
      <c r="M40" s="773"/>
      <c r="N40" s="322"/>
    </row>
    <row r="41" spans="2:19" s="300" customFormat="1" ht="12.75" customHeight="1">
      <c r="B41" s="322"/>
      <c r="C41" s="774" t="s">
        <v>535</v>
      </c>
      <c r="D41" s="775"/>
      <c r="E41" s="532"/>
      <c r="F41" s="368">
        <f>'Danville VA Hospital'!I102</f>
        <v>41275</v>
      </c>
      <c r="G41" s="368" t="str">
        <f>J102</f>
        <v>TBD</v>
      </c>
      <c r="H41" s="772"/>
      <c r="I41" s="772"/>
      <c r="J41" s="772"/>
      <c r="K41" s="772"/>
      <c r="L41" s="772"/>
      <c r="M41" s="773"/>
      <c r="N41" s="322"/>
      <c r="P41" s="358"/>
      <c r="Q41" s="358"/>
      <c r="R41" s="358"/>
      <c r="S41" s="358"/>
    </row>
    <row r="42" spans="2:19" s="300" customFormat="1">
      <c r="B42" s="322"/>
      <c r="C42" s="774" t="s">
        <v>536</v>
      </c>
      <c r="D42" s="775"/>
      <c r="E42" s="532"/>
      <c r="F42" s="368">
        <f>I110</f>
        <v>41275</v>
      </c>
      <c r="G42" s="368" t="str">
        <f>J110</f>
        <v>TBD</v>
      </c>
      <c r="H42" s="772"/>
      <c r="I42" s="772"/>
      <c r="J42" s="772"/>
      <c r="K42" s="772"/>
      <c r="L42" s="772"/>
      <c r="M42" s="773"/>
      <c r="N42" s="322"/>
      <c r="P42" s="358"/>
      <c r="Q42" s="358"/>
      <c r="R42" s="358"/>
      <c r="S42" s="358"/>
    </row>
    <row r="43" spans="2:19" s="300" customFormat="1">
      <c r="B43" s="322"/>
      <c r="C43" s="774" t="s">
        <v>517</v>
      </c>
      <c r="D43" s="775"/>
      <c r="E43" s="532"/>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32"/>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32"/>
      <c r="F45" s="368" t="str">
        <f>I200</f>
        <v>TBD</v>
      </c>
      <c r="G45" s="368" t="str">
        <f>J200</f>
        <v>TBD</v>
      </c>
      <c r="H45" s="772"/>
      <c r="I45" s="772"/>
      <c r="J45" s="772"/>
      <c r="K45" s="772"/>
      <c r="L45" s="772"/>
      <c r="M45" s="773"/>
      <c r="N45" s="322"/>
    </row>
    <row r="46" spans="2:19" s="300" customFormat="1">
      <c r="B46" s="322"/>
      <c r="C46" s="774" t="s">
        <v>538</v>
      </c>
      <c r="D46" s="775"/>
      <c r="E46" s="532"/>
      <c r="F46" s="368" t="str">
        <f>I232</f>
        <v>TBD</v>
      </c>
      <c r="G46" s="368" t="str">
        <f>J232</f>
        <v>TBD</v>
      </c>
      <c r="H46" s="772"/>
      <c r="I46" s="772"/>
      <c r="J46" s="772"/>
      <c r="K46" s="772"/>
      <c r="L46" s="772"/>
      <c r="M46" s="773"/>
      <c r="N46" s="322"/>
    </row>
    <row r="47" spans="2:19" s="300" customFormat="1" ht="14">
      <c r="B47" s="322"/>
      <c r="C47" s="774" t="s">
        <v>55</v>
      </c>
      <c r="D47" s="775"/>
      <c r="E47" s="532"/>
      <c r="F47" s="368">
        <f>I225</f>
        <v>41609</v>
      </c>
      <c r="G47" s="368">
        <f>J225</f>
        <v>41609</v>
      </c>
      <c r="H47" s="772"/>
      <c r="I47" s="772"/>
      <c r="J47" s="772"/>
      <c r="K47" s="772"/>
      <c r="L47" s="772"/>
      <c r="M47" s="773"/>
      <c r="N47" s="322"/>
    </row>
    <row r="48" spans="2:19" s="300" customFormat="1">
      <c r="B48" s="322"/>
      <c r="C48" s="774" t="s">
        <v>346</v>
      </c>
      <c r="D48" s="775"/>
      <c r="E48" s="532"/>
      <c r="F48" s="368" t="str">
        <f>I235</f>
        <v>TBD</v>
      </c>
      <c r="G48" s="368" t="str">
        <f>J235</f>
        <v>TBD</v>
      </c>
      <c r="H48" s="772"/>
      <c r="I48" s="772"/>
      <c r="J48" s="772"/>
      <c r="K48" s="772"/>
      <c r="L48" s="772"/>
      <c r="M48" s="773"/>
      <c r="N48" s="322"/>
    </row>
    <row r="49" spans="2:14" s="300" customFormat="1">
      <c r="B49" s="322"/>
      <c r="C49" s="774" t="s">
        <v>347</v>
      </c>
      <c r="D49" s="775"/>
      <c r="E49" s="532"/>
      <c r="F49" s="368" t="str">
        <f>I237</f>
        <v>TBD</v>
      </c>
      <c r="G49" s="368" t="str">
        <f>J237</f>
        <v>TBD</v>
      </c>
      <c r="H49" s="772"/>
      <c r="I49" s="772"/>
      <c r="J49" s="772"/>
      <c r="K49" s="772"/>
      <c r="L49" s="772"/>
      <c r="M49" s="773"/>
      <c r="N49" s="322"/>
    </row>
    <row r="50" spans="2:14" s="300" customFormat="1">
      <c r="B50" s="322"/>
      <c r="C50" s="774" t="s">
        <v>348</v>
      </c>
      <c r="D50" s="775"/>
      <c r="E50" s="532"/>
      <c r="F50" s="368" t="str">
        <f>I254</f>
        <v>TBD</v>
      </c>
      <c r="G50" s="368" t="str">
        <f>J254</f>
        <v>TBD</v>
      </c>
      <c r="H50" s="772"/>
      <c r="I50" s="772"/>
      <c r="J50" s="772"/>
      <c r="K50" s="772"/>
      <c r="L50" s="772"/>
      <c r="M50" s="773"/>
      <c r="N50" s="322"/>
    </row>
    <row r="51" spans="2:14" s="300" customFormat="1">
      <c r="B51" s="322"/>
      <c r="C51" s="774" t="s">
        <v>65</v>
      </c>
      <c r="D51" s="775"/>
      <c r="E51" s="532"/>
      <c r="F51" s="368" t="str">
        <f>I255</f>
        <v>TBD</v>
      </c>
      <c r="G51" s="368" t="str">
        <f>J255</f>
        <v>TBD</v>
      </c>
      <c r="H51" s="772"/>
      <c r="I51" s="772"/>
      <c r="J51" s="772"/>
      <c r="K51" s="772"/>
      <c r="L51" s="772"/>
      <c r="M51" s="773"/>
      <c r="N51" s="322"/>
    </row>
    <row r="52" spans="2:14" s="300" customFormat="1">
      <c r="B52" s="322"/>
      <c r="C52" s="774" t="s">
        <v>540</v>
      </c>
      <c r="D52" s="775"/>
      <c r="E52" s="532"/>
      <c r="F52" s="368" t="str">
        <f>I273</f>
        <v>TBD</v>
      </c>
      <c r="G52" s="368" t="str">
        <f>J273</f>
        <v>TBD</v>
      </c>
      <c r="H52" s="772"/>
      <c r="I52" s="772"/>
      <c r="J52" s="772"/>
      <c r="K52" s="772"/>
      <c r="L52" s="772"/>
      <c r="M52" s="773"/>
      <c r="N52" s="322"/>
    </row>
    <row r="53" spans="2:14" s="300" customFormat="1">
      <c r="B53" s="322"/>
      <c r="C53" s="774" t="s">
        <v>542</v>
      </c>
      <c r="D53" s="775"/>
      <c r="E53" s="532"/>
      <c r="F53" s="368" t="str">
        <f>I276</f>
        <v>TBD</v>
      </c>
      <c r="G53" s="368" t="str">
        <f>J276</f>
        <v>TBD</v>
      </c>
      <c r="H53" s="772"/>
      <c r="I53" s="772"/>
      <c r="J53" s="772"/>
      <c r="K53" s="772"/>
      <c r="L53" s="772"/>
      <c r="M53" s="773"/>
      <c r="N53" s="322"/>
    </row>
    <row r="54" spans="2:14" s="300" customFormat="1">
      <c r="B54" s="322"/>
      <c r="C54" s="774">
        <v>8609</v>
      </c>
      <c r="D54" s="775"/>
      <c r="E54" s="532"/>
      <c r="F54" s="368" t="str">
        <f>I289</f>
        <v>TBD</v>
      </c>
      <c r="G54" s="368" t="str">
        <f>J289</f>
        <v>TBD</v>
      </c>
      <c r="H54" s="772"/>
      <c r="I54" s="772"/>
      <c r="J54" s="772"/>
      <c r="K54" s="772"/>
      <c r="L54" s="772"/>
      <c r="M54" s="773"/>
      <c r="N54" s="322"/>
    </row>
    <row r="55" spans="2:14" s="300" customForma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531"/>
      <c r="F56" s="338"/>
      <c r="G56" s="338"/>
      <c r="H56" s="772"/>
      <c r="I56" s="772"/>
      <c r="J56" s="772"/>
      <c r="K56" s="772"/>
      <c r="L56" s="772"/>
      <c r="M56" s="773"/>
      <c r="N56" s="322"/>
    </row>
    <row r="57" spans="2:14" s="300" customFormat="1" ht="14">
      <c r="B57" s="322"/>
      <c r="C57" s="770" t="s">
        <v>522</v>
      </c>
      <c r="D57" s="771"/>
      <c r="E57" s="531"/>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Danville VA Hospital Site</v>
      </c>
      <c r="J63" s="769"/>
      <c r="K63" s="17"/>
      <c r="L63" s="17"/>
      <c r="M63" s="8"/>
      <c r="N63" s="17"/>
    </row>
    <row r="64" spans="2:14" ht="16" thickBot="1">
      <c r="C64" s="308" t="s">
        <v>351</v>
      </c>
      <c r="D64" s="308"/>
      <c r="E64" s="308"/>
      <c r="F64" s="308"/>
      <c r="H64" s="363"/>
      <c r="I64" s="768" t="str">
        <f>F7</f>
        <v>Danville</v>
      </c>
      <c r="J64" s="769"/>
      <c r="K64" s="17"/>
      <c r="L64" s="17"/>
      <c r="M64" s="8"/>
      <c r="N64" s="17"/>
    </row>
    <row r="65" spans="2:15" ht="16" thickBot="1">
      <c r="C65" s="308" t="s">
        <v>352</v>
      </c>
      <c r="D65" s="308"/>
      <c r="E65" s="308"/>
      <c r="F65" s="308"/>
      <c r="H65" s="363"/>
      <c r="I65" s="768" t="str">
        <f>C3</f>
        <v>D Lyon</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537">
        <v>40954</v>
      </c>
      <c r="J70" s="537">
        <v>40954</v>
      </c>
    </row>
    <row r="71" spans="2:15">
      <c r="C71" s="2" t="s">
        <v>356</v>
      </c>
      <c r="D71" s="2"/>
      <c r="E71" s="2"/>
      <c r="F71" s="2"/>
      <c r="G71" s="2"/>
      <c r="H71" s="2"/>
      <c r="I71" s="537">
        <v>41274</v>
      </c>
      <c r="J71" s="537" t="s">
        <v>14</v>
      </c>
    </row>
    <row r="72" spans="2:15">
      <c r="C72" s="2" t="s">
        <v>357</v>
      </c>
      <c r="D72" s="2"/>
      <c r="E72" s="2"/>
      <c r="F72" s="2"/>
      <c r="G72" s="2"/>
      <c r="H72" s="2"/>
      <c r="I72" s="537">
        <v>41274</v>
      </c>
      <c r="J72" s="537" t="s">
        <v>14</v>
      </c>
    </row>
    <row r="73" spans="2:15">
      <c r="C73" s="2" t="s">
        <v>358</v>
      </c>
      <c r="D73" s="2"/>
      <c r="E73" s="2"/>
      <c r="F73" s="2"/>
      <c r="G73" s="2"/>
      <c r="H73" s="2"/>
      <c r="I73" s="537">
        <v>41274</v>
      </c>
      <c r="J73" s="537" t="s">
        <v>14</v>
      </c>
    </row>
    <row r="74" spans="2:15">
      <c r="C74" s="312" t="s">
        <v>359</v>
      </c>
      <c r="D74" s="312"/>
      <c r="E74" s="312"/>
      <c r="F74" s="312"/>
      <c r="G74" s="312"/>
      <c r="H74" s="312"/>
      <c r="I74" s="537">
        <v>41274</v>
      </c>
      <c r="J74" s="537" t="s">
        <v>14</v>
      </c>
    </row>
    <row r="75" spans="2:15">
      <c r="C75" s="2" t="s">
        <v>360</v>
      </c>
      <c r="D75" s="2"/>
      <c r="E75" s="2"/>
      <c r="F75" s="312"/>
      <c r="G75" s="312"/>
      <c r="H75" s="312"/>
      <c r="I75" s="537">
        <v>41274</v>
      </c>
      <c r="J75" s="537" t="s">
        <v>14</v>
      </c>
    </row>
    <row r="76" spans="2:15">
      <c r="C76" s="2" t="s">
        <v>361</v>
      </c>
      <c r="D76" s="2"/>
      <c r="E76" s="2"/>
      <c r="F76" s="312"/>
      <c r="G76" s="312"/>
      <c r="H76" s="312"/>
      <c r="I76" s="537">
        <v>41274</v>
      </c>
      <c r="J76" s="537" t="s">
        <v>14</v>
      </c>
    </row>
    <row r="77" spans="2:15">
      <c r="C77" s="2" t="s">
        <v>362</v>
      </c>
      <c r="D77" s="2"/>
      <c r="E77" s="2"/>
      <c r="F77" s="312"/>
      <c r="G77" s="312"/>
      <c r="H77" s="312"/>
      <c r="I77" s="537"/>
      <c r="J77" s="537"/>
    </row>
    <row r="78" spans="2:15">
      <c r="C78" s="312" t="s">
        <v>363</v>
      </c>
      <c r="D78" s="312"/>
      <c r="E78" s="312"/>
      <c r="F78" s="312"/>
      <c r="G78" s="312"/>
      <c r="H78" s="312"/>
      <c r="I78" s="537">
        <v>41072</v>
      </c>
      <c r="J78" s="537" t="s">
        <v>14</v>
      </c>
    </row>
    <row r="79" spans="2:15">
      <c r="C79" s="312" t="s">
        <v>364</v>
      </c>
      <c r="D79" s="312"/>
      <c r="E79" s="312"/>
      <c r="F79" s="312"/>
      <c r="G79" s="312"/>
      <c r="H79" s="312"/>
      <c r="I79" s="537">
        <v>41072</v>
      </c>
      <c r="J79" s="537" t="s">
        <v>14</v>
      </c>
    </row>
    <row r="80" spans="2:15">
      <c r="C80" s="312" t="s">
        <v>365</v>
      </c>
      <c r="D80" s="312"/>
      <c r="E80" s="312"/>
      <c r="F80" s="312"/>
      <c r="G80" s="312"/>
      <c r="H80" s="312"/>
      <c r="I80" s="537">
        <v>41072</v>
      </c>
      <c r="J80" s="537" t="s">
        <v>14</v>
      </c>
    </row>
    <row r="81" spans="2:10">
      <c r="C81" s="315" t="s">
        <v>366</v>
      </c>
      <c r="D81" s="315"/>
      <c r="E81" s="315"/>
      <c r="F81" s="314"/>
      <c r="G81" s="314"/>
      <c r="H81" s="314"/>
      <c r="I81" s="537">
        <v>41072</v>
      </c>
      <c r="J81" s="537" t="s">
        <v>14</v>
      </c>
    </row>
    <row r="82" spans="2:10">
      <c r="C82" s="2" t="s">
        <v>367</v>
      </c>
      <c r="D82" s="2"/>
      <c r="E82" s="2"/>
      <c r="F82" s="312"/>
      <c r="G82" s="312"/>
      <c r="H82" s="312"/>
      <c r="I82" s="537"/>
      <c r="J82" s="537"/>
    </row>
    <row r="83" spans="2:10">
      <c r="C83" s="312" t="s">
        <v>368</v>
      </c>
      <c r="D83" s="312"/>
      <c r="E83" s="312"/>
      <c r="F83" s="312"/>
      <c r="G83" s="312"/>
      <c r="H83" s="312"/>
      <c r="I83" s="537">
        <v>40908</v>
      </c>
      <c r="J83" s="537">
        <v>40908</v>
      </c>
    </row>
    <row r="84" spans="2:10">
      <c r="C84" s="312" t="s">
        <v>369</v>
      </c>
      <c r="D84" s="312"/>
      <c r="E84" s="312"/>
      <c r="F84" s="312"/>
      <c r="G84" s="312"/>
      <c r="H84" s="312"/>
      <c r="I84" s="537">
        <v>40908</v>
      </c>
      <c r="J84" s="537">
        <v>40908</v>
      </c>
    </row>
    <row r="85" spans="2:10">
      <c r="C85" s="312" t="s">
        <v>370</v>
      </c>
      <c r="D85" s="312"/>
      <c r="E85" s="312"/>
      <c r="F85" s="312"/>
      <c r="G85" s="312"/>
      <c r="H85" s="312"/>
      <c r="I85" s="537">
        <v>40908</v>
      </c>
      <c r="J85" s="537">
        <v>40908</v>
      </c>
    </row>
    <row r="86" spans="2:10">
      <c r="C86" s="2" t="s">
        <v>371</v>
      </c>
      <c r="D86" s="2"/>
      <c r="E86" s="2"/>
      <c r="F86" s="312"/>
      <c r="G86" s="312"/>
      <c r="H86" s="312"/>
      <c r="I86" s="537">
        <v>40908</v>
      </c>
      <c r="J86" s="537">
        <v>40908</v>
      </c>
    </row>
    <row r="87" spans="2:10">
      <c r="C87" s="2" t="s">
        <v>372</v>
      </c>
      <c r="D87" s="2"/>
      <c r="E87" s="2"/>
      <c r="F87" s="312"/>
      <c r="G87" s="312"/>
      <c r="H87" s="312"/>
      <c r="I87" s="537">
        <v>41072</v>
      </c>
      <c r="J87" s="537" t="s">
        <v>14</v>
      </c>
    </row>
    <row r="88" spans="2:10">
      <c r="C88" s="2" t="s">
        <v>373</v>
      </c>
      <c r="D88" s="2"/>
      <c r="E88" s="2"/>
      <c r="F88" s="312"/>
      <c r="G88" s="312"/>
      <c r="H88" s="312"/>
      <c r="I88" s="537">
        <v>41072</v>
      </c>
      <c r="J88" s="537" t="s">
        <v>14</v>
      </c>
    </row>
    <row r="89" spans="2:10">
      <c r="C89" s="2" t="s">
        <v>374</v>
      </c>
      <c r="D89" s="2"/>
      <c r="E89" s="2"/>
      <c r="F89" s="312"/>
      <c r="G89" s="312"/>
      <c r="H89" s="312"/>
      <c r="I89" s="537">
        <v>41072</v>
      </c>
      <c r="J89" s="537" t="s">
        <v>14</v>
      </c>
    </row>
    <row r="90" spans="2:10">
      <c r="C90" s="2" t="s">
        <v>375</v>
      </c>
      <c r="D90" s="2"/>
      <c r="E90" s="2"/>
      <c r="F90" s="312"/>
      <c r="G90" s="312"/>
      <c r="H90" s="312"/>
      <c r="I90" s="537">
        <v>41072</v>
      </c>
      <c r="J90" s="537" t="s">
        <v>14</v>
      </c>
    </row>
    <row r="91" spans="2:10">
      <c r="C91" s="2" t="s">
        <v>376</v>
      </c>
      <c r="D91" s="2"/>
      <c r="E91" s="2"/>
      <c r="F91" s="312"/>
      <c r="G91" s="312"/>
      <c r="H91" s="312"/>
      <c r="I91" s="537">
        <v>41072</v>
      </c>
      <c r="J91" s="537" t="s">
        <v>14</v>
      </c>
    </row>
    <row r="92" spans="2:10">
      <c r="C92" s="308" t="s">
        <v>377</v>
      </c>
      <c r="D92" s="308"/>
      <c r="E92" s="308"/>
      <c r="F92" s="312"/>
      <c r="G92" s="312"/>
      <c r="H92" s="312"/>
      <c r="I92" s="537">
        <v>40543</v>
      </c>
      <c r="J92" s="537">
        <v>40543</v>
      </c>
    </row>
    <row r="93" spans="2:10">
      <c r="C93" s="2"/>
      <c r="D93" s="2"/>
      <c r="E93" s="2"/>
      <c r="F93" s="312"/>
      <c r="G93" s="312"/>
      <c r="H93" s="312"/>
      <c r="I93" s="537"/>
      <c r="J93" s="537"/>
    </row>
    <row r="94" spans="2:10">
      <c r="B94" s="309" t="s">
        <v>378</v>
      </c>
      <c r="C94" s="308"/>
      <c r="D94" s="308"/>
      <c r="E94" s="308"/>
      <c r="F94" s="313"/>
      <c r="G94" s="313"/>
      <c r="H94" s="313"/>
      <c r="I94" s="537">
        <v>41072</v>
      </c>
      <c r="J94" s="537" t="s">
        <v>14</v>
      </c>
    </row>
    <row r="95" spans="2:10">
      <c r="B95" s="309"/>
      <c r="C95" s="308"/>
      <c r="D95" s="308"/>
      <c r="E95" s="308"/>
      <c r="F95" s="313"/>
      <c r="G95" s="313"/>
      <c r="H95" s="313"/>
      <c r="I95" s="537"/>
      <c r="J95" s="537"/>
    </row>
    <row r="96" spans="2:10">
      <c r="B96" s="308" t="s">
        <v>512</v>
      </c>
      <c r="C96" s="2"/>
      <c r="D96" s="2"/>
      <c r="E96" s="2"/>
      <c r="F96" s="312"/>
      <c r="G96" s="312"/>
      <c r="H96" s="312"/>
      <c r="I96" s="537" t="s">
        <v>14</v>
      </c>
      <c r="J96" s="537" t="s">
        <v>14</v>
      </c>
    </row>
    <row r="97" spans="2:10">
      <c r="B97" s="2"/>
      <c r="C97" s="2"/>
      <c r="D97" s="2"/>
      <c r="E97" s="2"/>
      <c r="F97" s="312"/>
      <c r="G97" s="312"/>
      <c r="H97" s="312"/>
      <c r="I97" s="537"/>
      <c r="J97" s="537"/>
    </row>
    <row r="98" spans="2:10">
      <c r="B98" s="308" t="s">
        <v>379</v>
      </c>
      <c r="C98" s="2"/>
      <c r="D98" s="2"/>
      <c r="E98" s="2"/>
      <c r="F98" s="312"/>
      <c r="G98" s="312"/>
      <c r="H98" s="312"/>
      <c r="I98" s="537"/>
      <c r="J98" s="537"/>
    </row>
    <row r="99" spans="2:10">
      <c r="C99" s="2" t="s">
        <v>380</v>
      </c>
      <c r="D99" s="2"/>
      <c r="E99" s="2"/>
      <c r="F99" s="312"/>
      <c r="G99" s="312"/>
      <c r="H99" s="312"/>
      <c r="I99" s="537" t="s">
        <v>67</v>
      </c>
      <c r="J99" s="537" t="s">
        <v>67</v>
      </c>
    </row>
    <row r="100" spans="2:10">
      <c r="C100" s="2" t="s">
        <v>381</v>
      </c>
      <c r="D100" s="2"/>
      <c r="E100" s="2"/>
      <c r="F100" s="312"/>
      <c r="G100" s="312"/>
      <c r="H100" s="312"/>
      <c r="I100" s="537">
        <v>41275</v>
      </c>
      <c r="J100" s="537" t="s">
        <v>14</v>
      </c>
    </row>
    <row r="101" spans="2:10">
      <c r="C101" s="2" t="s">
        <v>382</v>
      </c>
      <c r="D101" s="2"/>
      <c r="E101" s="2"/>
      <c r="F101" s="312"/>
      <c r="G101" s="312"/>
      <c r="H101" s="312"/>
      <c r="I101" s="537" t="s">
        <v>67</v>
      </c>
      <c r="J101" s="537" t="s">
        <v>67</v>
      </c>
    </row>
    <row r="102" spans="2:10">
      <c r="C102" s="308" t="s">
        <v>534</v>
      </c>
      <c r="D102" s="2"/>
      <c r="E102" s="2"/>
      <c r="F102" s="312"/>
      <c r="G102" s="312"/>
      <c r="H102" s="312"/>
      <c r="I102" s="537">
        <v>41275</v>
      </c>
      <c r="J102" s="537" t="s">
        <v>14</v>
      </c>
    </row>
    <row r="103" spans="2:10">
      <c r="C103" s="2" t="s">
        <v>524</v>
      </c>
      <c r="D103" s="2"/>
      <c r="E103" s="2"/>
      <c r="F103" s="312"/>
      <c r="G103" s="312"/>
      <c r="H103" s="312"/>
      <c r="I103" s="537" t="s">
        <v>67</v>
      </c>
      <c r="J103" s="537" t="s">
        <v>67</v>
      </c>
    </row>
    <row r="104" spans="2:10">
      <c r="C104" s="2" t="s">
        <v>383</v>
      </c>
      <c r="D104" s="2"/>
      <c r="E104" s="2"/>
      <c r="F104" s="312"/>
      <c r="G104" s="312"/>
      <c r="H104" s="312"/>
      <c r="I104" s="537" t="s">
        <v>67</v>
      </c>
      <c r="J104" s="537" t="s">
        <v>67</v>
      </c>
    </row>
    <row r="105" spans="2:10">
      <c r="C105" s="2" t="s">
        <v>384</v>
      </c>
      <c r="D105" s="2"/>
      <c r="E105" s="2"/>
      <c r="F105" s="312"/>
      <c r="G105" s="312"/>
      <c r="H105" s="312"/>
      <c r="I105" s="537" t="s">
        <v>67</v>
      </c>
      <c r="J105" s="537" t="s">
        <v>67</v>
      </c>
    </row>
    <row r="106" spans="2:10">
      <c r="C106" s="2" t="s">
        <v>544</v>
      </c>
      <c r="D106" s="2"/>
      <c r="E106" s="2"/>
      <c r="F106" s="312"/>
      <c r="G106" s="312"/>
      <c r="H106" s="312"/>
      <c r="I106" s="537" t="s">
        <v>67</v>
      </c>
      <c r="J106" s="537" t="s">
        <v>67</v>
      </c>
    </row>
    <row r="107" spans="2:10">
      <c r="C107" s="2" t="s">
        <v>385</v>
      </c>
      <c r="D107" s="2"/>
      <c r="E107" s="2"/>
      <c r="F107" s="312"/>
      <c r="G107" s="312"/>
      <c r="H107" s="312"/>
      <c r="I107" s="537" t="s">
        <v>67</v>
      </c>
      <c r="J107" s="537" t="s">
        <v>67</v>
      </c>
    </row>
    <row r="108" spans="2:10">
      <c r="C108" s="2" t="s">
        <v>386</v>
      </c>
      <c r="D108" s="2"/>
      <c r="E108" s="2"/>
      <c r="F108" s="312"/>
      <c r="G108" s="312"/>
      <c r="H108" s="312"/>
      <c r="I108" s="537" t="s">
        <v>67</v>
      </c>
      <c r="J108" s="537" t="s">
        <v>67</v>
      </c>
    </row>
    <row r="109" spans="2:10">
      <c r="C109" s="2" t="s">
        <v>523</v>
      </c>
      <c r="D109" s="2"/>
      <c r="E109" s="2"/>
      <c r="F109" s="312"/>
      <c r="G109" s="312"/>
      <c r="H109" s="312"/>
      <c r="I109" s="537" t="s">
        <v>67</v>
      </c>
      <c r="J109" s="537" t="s">
        <v>67</v>
      </c>
    </row>
    <row r="110" spans="2:10">
      <c r="C110" s="308" t="s">
        <v>526</v>
      </c>
      <c r="D110" s="2"/>
      <c r="E110" s="2"/>
      <c r="F110" s="312"/>
      <c r="G110" s="312"/>
      <c r="H110" s="312"/>
      <c r="I110" s="537">
        <v>41275</v>
      </c>
      <c r="J110" s="537" t="s">
        <v>14</v>
      </c>
    </row>
    <row r="111" spans="2:10">
      <c r="C111" s="2"/>
      <c r="D111" s="2"/>
      <c r="E111" s="2"/>
      <c r="F111" s="312"/>
      <c r="G111" s="312"/>
      <c r="H111" s="312"/>
      <c r="I111" s="542"/>
      <c r="J111" s="542"/>
    </row>
    <row r="112" spans="2:10">
      <c r="B112" s="308" t="s">
        <v>218</v>
      </c>
      <c r="C112" s="301"/>
      <c r="D112" s="301"/>
      <c r="E112" s="301"/>
      <c r="F112" s="312"/>
      <c r="G112" s="312"/>
      <c r="H112" s="312"/>
      <c r="I112" s="542"/>
      <c r="J112" s="542"/>
    </row>
    <row r="113" spans="3:10">
      <c r="C113" s="310" t="s">
        <v>387</v>
      </c>
      <c r="D113" s="310"/>
      <c r="E113" s="310"/>
      <c r="F113" s="312"/>
      <c r="G113" s="312"/>
      <c r="H113" s="312"/>
      <c r="I113" s="543"/>
      <c r="J113" s="543"/>
    </row>
    <row r="114" spans="3:10">
      <c r="C114" s="312" t="s">
        <v>388</v>
      </c>
      <c r="D114" s="312"/>
      <c r="E114" s="312"/>
      <c r="F114" s="312"/>
      <c r="G114" s="312"/>
      <c r="H114" s="312"/>
      <c r="I114" s="544"/>
      <c r="J114" s="544"/>
    </row>
    <row r="115" spans="3:10">
      <c r="C115" s="315" t="s">
        <v>389</v>
      </c>
      <c r="D115" s="315"/>
      <c r="E115" s="315"/>
      <c r="F115" s="315"/>
      <c r="G115" s="315"/>
      <c r="H115" s="315"/>
      <c r="I115" s="537">
        <v>41061</v>
      </c>
      <c r="J115" s="537" t="s">
        <v>14</v>
      </c>
    </row>
    <row r="116" spans="3:10">
      <c r="C116" s="315" t="s">
        <v>342</v>
      </c>
      <c r="D116" s="315"/>
      <c r="E116" s="315"/>
      <c r="F116" s="315"/>
      <c r="G116" s="315"/>
      <c r="H116" s="315"/>
      <c r="I116" s="537">
        <v>41061</v>
      </c>
      <c r="J116" s="537" t="s">
        <v>14</v>
      </c>
    </row>
    <row r="117" spans="3:10">
      <c r="C117" s="315" t="s">
        <v>390</v>
      </c>
      <c r="D117" s="315"/>
      <c r="E117" s="315"/>
      <c r="F117" s="315"/>
      <c r="G117" s="315"/>
      <c r="H117" s="315"/>
      <c r="I117" s="537">
        <v>41061</v>
      </c>
      <c r="J117" s="537" t="s">
        <v>14</v>
      </c>
    </row>
    <row r="118" spans="3:10">
      <c r="C118" s="312" t="s">
        <v>391</v>
      </c>
      <c r="D118" s="312"/>
      <c r="E118" s="312"/>
      <c r="F118" s="312"/>
      <c r="G118" s="312"/>
      <c r="H118" s="312"/>
      <c r="I118" s="537"/>
      <c r="J118" s="537"/>
    </row>
    <row r="119" spans="3:10">
      <c r="C119" s="315" t="s">
        <v>389</v>
      </c>
      <c r="D119" s="315"/>
      <c r="E119" s="315"/>
      <c r="F119" s="315"/>
      <c r="G119" s="315"/>
      <c r="H119" s="315"/>
      <c r="I119" s="537"/>
      <c r="J119" s="537"/>
    </row>
    <row r="120" spans="3:10">
      <c r="C120" s="315" t="s">
        <v>392</v>
      </c>
      <c r="D120" s="315"/>
      <c r="E120" s="315"/>
      <c r="F120" s="315"/>
      <c r="G120" s="315"/>
      <c r="H120" s="315"/>
      <c r="I120" s="537" t="s">
        <v>14</v>
      </c>
      <c r="J120" s="537" t="s">
        <v>14</v>
      </c>
    </row>
    <row r="121" spans="3:10">
      <c r="C121" s="315" t="s">
        <v>393</v>
      </c>
      <c r="D121" s="315"/>
      <c r="E121" s="315"/>
      <c r="F121" s="315"/>
      <c r="G121" s="315"/>
      <c r="H121" s="315"/>
      <c r="I121" s="537" t="s">
        <v>14</v>
      </c>
      <c r="J121" s="537" t="s">
        <v>14</v>
      </c>
    </row>
    <row r="122" spans="3:10">
      <c r="C122" s="315" t="s">
        <v>394</v>
      </c>
      <c r="D122" s="315"/>
      <c r="E122" s="315"/>
      <c r="F122" s="315"/>
      <c r="G122" s="315"/>
      <c r="H122" s="315"/>
      <c r="I122" s="537" t="s">
        <v>14</v>
      </c>
      <c r="J122" s="537" t="s">
        <v>14</v>
      </c>
    </row>
    <row r="123" spans="3:10">
      <c r="C123" s="315" t="s">
        <v>395</v>
      </c>
      <c r="D123" s="315"/>
      <c r="E123" s="315"/>
      <c r="F123" s="315"/>
      <c r="G123" s="315"/>
      <c r="H123" s="315"/>
      <c r="I123" s="537"/>
      <c r="J123" s="537"/>
    </row>
    <row r="124" spans="3:10">
      <c r="C124" s="315" t="s">
        <v>392</v>
      </c>
      <c r="D124" s="315"/>
      <c r="E124" s="315"/>
      <c r="F124" s="315"/>
      <c r="G124" s="315"/>
      <c r="H124" s="315"/>
      <c r="I124" s="537" t="s">
        <v>14</v>
      </c>
      <c r="J124" s="537" t="s">
        <v>14</v>
      </c>
    </row>
    <row r="125" spans="3:10">
      <c r="C125" s="315" t="s">
        <v>393</v>
      </c>
      <c r="D125" s="315"/>
      <c r="E125" s="315"/>
      <c r="F125" s="315"/>
      <c r="G125" s="315"/>
      <c r="H125" s="315"/>
      <c r="I125" s="537" t="s">
        <v>14</v>
      </c>
      <c r="J125" s="537" t="s">
        <v>14</v>
      </c>
    </row>
    <row r="126" spans="3:10">
      <c r="C126" s="315" t="s">
        <v>394</v>
      </c>
      <c r="D126" s="315"/>
      <c r="E126" s="315"/>
      <c r="F126" s="315"/>
      <c r="G126" s="315"/>
      <c r="H126" s="315"/>
      <c r="I126" s="537" t="s">
        <v>14</v>
      </c>
      <c r="J126" s="537" t="s">
        <v>14</v>
      </c>
    </row>
    <row r="127" spans="3:10">
      <c r="C127" s="315" t="s">
        <v>396</v>
      </c>
      <c r="D127" s="315"/>
      <c r="E127" s="315"/>
      <c r="F127" s="315"/>
      <c r="G127" s="315"/>
      <c r="H127" s="315"/>
      <c r="I127" s="537" t="s">
        <v>14</v>
      </c>
      <c r="J127" s="537" t="s">
        <v>14</v>
      </c>
    </row>
    <row r="128" spans="3:10">
      <c r="C128" s="315" t="s">
        <v>390</v>
      </c>
      <c r="D128" s="315"/>
      <c r="E128" s="315"/>
      <c r="F128" s="315"/>
      <c r="G128" s="315"/>
      <c r="H128" s="315"/>
      <c r="I128" s="537"/>
      <c r="J128" s="537"/>
    </row>
    <row r="129" spans="2:10">
      <c r="C129" s="315" t="s">
        <v>392</v>
      </c>
      <c r="D129" s="315"/>
      <c r="E129" s="315"/>
      <c r="F129" s="315"/>
      <c r="G129" s="315"/>
      <c r="H129" s="315"/>
      <c r="I129" s="537" t="s">
        <v>14</v>
      </c>
      <c r="J129" s="537" t="s">
        <v>14</v>
      </c>
    </row>
    <row r="130" spans="2:10">
      <c r="C130" s="315" t="s">
        <v>393</v>
      </c>
      <c r="D130" s="315"/>
      <c r="E130" s="315"/>
      <c r="F130" s="315"/>
      <c r="G130" s="315"/>
      <c r="H130" s="315"/>
      <c r="I130" s="537" t="s">
        <v>14</v>
      </c>
      <c r="J130" s="537" t="s">
        <v>14</v>
      </c>
    </row>
    <row r="131" spans="2:10">
      <c r="C131" s="313" t="s">
        <v>528</v>
      </c>
      <c r="D131" s="312"/>
      <c r="E131" s="312"/>
      <c r="F131" s="312"/>
      <c r="G131" s="312"/>
      <c r="H131" s="312"/>
      <c r="I131" s="537" t="s">
        <v>14</v>
      </c>
      <c r="J131" s="537" t="s">
        <v>14</v>
      </c>
    </row>
    <row r="132" spans="2:10">
      <c r="C132" s="312"/>
      <c r="D132" s="312"/>
      <c r="E132" s="312"/>
      <c r="F132" s="312"/>
      <c r="G132" s="312"/>
      <c r="H132" s="312"/>
      <c r="I132" s="543"/>
      <c r="J132" s="543"/>
    </row>
    <row r="133" spans="2:10">
      <c r="B133" s="308" t="s">
        <v>397</v>
      </c>
      <c r="C133" s="308"/>
      <c r="D133" s="308"/>
      <c r="E133" s="308"/>
      <c r="F133" s="312"/>
      <c r="G133" s="312"/>
      <c r="H133" s="312"/>
      <c r="I133" s="542"/>
      <c r="J133" s="542"/>
    </row>
    <row r="134" spans="2:10">
      <c r="C134" s="2" t="s">
        <v>356</v>
      </c>
      <c r="D134" s="2"/>
      <c r="E134" s="2"/>
      <c r="F134" s="312"/>
      <c r="G134" s="312"/>
      <c r="H134" s="312"/>
      <c r="I134" s="537">
        <v>40908</v>
      </c>
      <c r="J134" s="537">
        <v>40908</v>
      </c>
    </row>
    <row r="135" spans="2:10">
      <c r="C135" s="2" t="s">
        <v>398</v>
      </c>
      <c r="D135" s="2"/>
      <c r="E135" s="2"/>
      <c r="F135" s="312"/>
      <c r="G135" s="312"/>
      <c r="H135" s="312"/>
      <c r="I135" s="537">
        <v>40908</v>
      </c>
      <c r="J135" s="537">
        <v>40908</v>
      </c>
    </row>
    <row r="136" spans="2:10">
      <c r="C136" s="2" t="s">
        <v>399</v>
      </c>
      <c r="D136" s="2"/>
      <c r="E136" s="2"/>
      <c r="F136" s="312"/>
      <c r="G136" s="312"/>
      <c r="H136" s="312"/>
      <c r="I136" s="537"/>
      <c r="J136" s="537"/>
    </row>
    <row r="137" spans="2:10">
      <c r="C137" s="312" t="s">
        <v>363</v>
      </c>
      <c r="D137" s="312"/>
      <c r="E137" s="312"/>
      <c r="F137" s="312"/>
      <c r="G137" s="312"/>
      <c r="H137" s="312"/>
      <c r="I137" s="537" t="s">
        <v>14</v>
      </c>
      <c r="J137" s="537" t="s">
        <v>14</v>
      </c>
    </row>
    <row r="138" spans="2:10">
      <c r="C138" s="2" t="s">
        <v>400</v>
      </c>
      <c r="D138" s="2"/>
      <c r="E138" s="2"/>
      <c r="F138" s="312"/>
      <c r="G138" s="312"/>
      <c r="H138" s="312"/>
      <c r="I138" s="537" t="s">
        <v>14</v>
      </c>
      <c r="J138" s="537" t="s">
        <v>14</v>
      </c>
    </row>
    <row r="139" spans="2:10">
      <c r="C139" s="2" t="s">
        <v>401</v>
      </c>
      <c r="D139" s="2"/>
      <c r="E139" s="2"/>
      <c r="F139" s="312"/>
      <c r="G139" s="312"/>
      <c r="H139" s="312"/>
      <c r="I139" s="537" t="s">
        <v>14</v>
      </c>
      <c r="J139" s="537" t="s">
        <v>14</v>
      </c>
    </row>
    <row r="140" spans="2:10">
      <c r="C140" s="2" t="s">
        <v>402</v>
      </c>
      <c r="D140" s="2"/>
      <c r="E140" s="2"/>
      <c r="F140" s="312"/>
      <c r="G140" s="312"/>
      <c r="H140" s="312"/>
      <c r="I140" s="537"/>
      <c r="J140" s="537"/>
    </row>
    <row r="141" spans="2:10">
      <c r="C141" s="312" t="s">
        <v>403</v>
      </c>
      <c r="D141" s="312"/>
      <c r="E141" s="312"/>
      <c r="F141" s="312"/>
      <c r="G141" s="312"/>
      <c r="H141" s="312"/>
      <c r="I141" s="537" t="s">
        <v>14</v>
      </c>
      <c r="J141" s="537" t="s">
        <v>14</v>
      </c>
    </row>
    <row r="142" spans="2:10">
      <c r="C142" s="312" t="s">
        <v>404</v>
      </c>
      <c r="D142" s="312"/>
      <c r="E142" s="312"/>
      <c r="F142" s="312"/>
      <c r="G142" s="312"/>
      <c r="H142" s="312"/>
      <c r="I142" s="537" t="s">
        <v>14</v>
      </c>
      <c r="J142" s="537" t="s">
        <v>14</v>
      </c>
    </row>
    <row r="143" spans="2:10">
      <c r="C143" s="312" t="s">
        <v>405</v>
      </c>
      <c r="D143" s="312"/>
      <c r="E143" s="312"/>
      <c r="F143" s="312"/>
      <c r="G143" s="312"/>
      <c r="H143" s="312"/>
      <c r="I143" s="537" t="s">
        <v>14</v>
      </c>
      <c r="J143" s="537" t="s">
        <v>14</v>
      </c>
    </row>
    <row r="144" spans="2:10">
      <c r="C144" s="2" t="s">
        <v>406</v>
      </c>
      <c r="D144" s="2"/>
      <c r="E144" s="2"/>
      <c r="F144" s="312"/>
      <c r="G144" s="312"/>
      <c r="H144" s="312"/>
      <c r="I144" s="537"/>
      <c r="J144" s="537"/>
    </row>
    <row r="145" spans="3:10">
      <c r="C145" s="2" t="s">
        <v>407</v>
      </c>
      <c r="D145" s="2"/>
      <c r="E145" s="2"/>
      <c r="F145" s="312"/>
      <c r="G145" s="312"/>
      <c r="H145" s="312"/>
      <c r="I145" s="537"/>
      <c r="J145" s="537"/>
    </row>
    <row r="146" spans="3:10">
      <c r="C146" s="312" t="s">
        <v>408</v>
      </c>
      <c r="D146" s="312"/>
      <c r="E146" s="312"/>
      <c r="F146" s="312"/>
      <c r="G146" s="312"/>
      <c r="H146" s="312"/>
      <c r="I146" s="537" t="s">
        <v>14</v>
      </c>
      <c r="J146" s="537" t="s">
        <v>14</v>
      </c>
    </row>
    <row r="147" spans="3:10">
      <c r="C147" s="312" t="s">
        <v>409</v>
      </c>
      <c r="D147" s="312"/>
      <c r="E147" s="312"/>
      <c r="F147" s="312"/>
      <c r="G147" s="312"/>
      <c r="H147" s="312"/>
      <c r="I147" s="537" t="s">
        <v>14</v>
      </c>
      <c r="J147" s="537" t="s">
        <v>14</v>
      </c>
    </row>
    <row r="148" spans="3:10">
      <c r="C148" s="2" t="s">
        <v>410</v>
      </c>
      <c r="D148" s="2"/>
      <c r="E148" s="2"/>
      <c r="F148" s="312"/>
      <c r="G148" s="312"/>
      <c r="H148" s="312"/>
      <c r="I148" s="537"/>
      <c r="J148" s="537"/>
    </row>
    <row r="149" spans="3:10">
      <c r="C149" s="312" t="s">
        <v>411</v>
      </c>
      <c r="D149" s="312"/>
      <c r="E149" s="312"/>
      <c r="F149" s="312"/>
      <c r="G149" s="312"/>
      <c r="H149" s="312"/>
      <c r="I149" s="537" t="s">
        <v>14</v>
      </c>
      <c r="J149" s="537" t="s">
        <v>14</v>
      </c>
    </row>
    <row r="150" spans="3:10">
      <c r="C150" s="312" t="s">
        <v>412</v>
      </c>
      <c r="D150" s="312"/>
      <c r="E150" s="312"/>
      <c r="F150" s="312"/>
      <c r="G150" s="312"/>
      <c r="H150" s="312"/>
      <c r="I150" s="537" t="s">
        <v>14</v>
      </c>
      <c r="J150" s="537" t="s">
        <v>14</v>
      </c>
    </row>
    <row r="151" spans="3:10">
      <c r="C151" s="312" t="s">
        <v>413</v>
      </c>
      <c r="D151" s="312"/>
      <c r="E151" s="312"/>
      <c r="F151" s="312"/>
      <c r="G151" s="312"/>
      <c r="H151" s="312"/>
      <c r="I151" s="537" t="s">
        <v>14</v>
      </c>
      <c r="J151" s="537" t="s">
        <v>14</v>
      </c>
    </row>
    <row r="152" spans="3:10">
      <c r="C152" s="312" t="s">
        <v>414</v>
      </c>
      <c r="D152" s="312"/>
      <c r="E152" s="312"/>
      <c r="F152" s="312"/>
      <c r="G152" s="312"/>
      <c r="H152" s="312"/>
      <c r="I152" s="537" t="s">
        <v>14</v>
      </c>
      <c r="J152" s="537" t="s">
        <v>14</v>
      </c>
    </row>
    <row r="153" spans="3:10">
      <c r="C153" s="312" t="s">
        <v>415</v>
      </c>
      <c r="D153" s="312"/>
      <c r="E153" s="312"/>
      <c r="F153" s="312"/>
      <c r="G153" s="312"/>
      <c r="H153" s="312"/>
      <c r="I153" s="537" t="s">
        <v>14</v>
      </c>
      <c r="J153" s="537" t="s">
        <v>14</v>
      </c>
    </row>
    <row r="154" spans="3:10">
      <c r="C154" s="2" t="s">
        <v>416</v>
      </c>
      <c r="D154" s="2"/>
      <c r="E154" s="2"/>
      <c r="F154" s="312"/>
      <c r="G154" s="312"/>
      <c r="H154" s="312"/>
      <c r="I154" s="537"/>
      <c r="J154" s="537"/>
    </row>
    <row r="155" spans="3:10">
      <c r="C155" s="312" t="s">
        <v>417</v>
      </c>
      <c r="D155" s="312"/>
      <c r="E155" s="312"/>
      <c r="F155" s="312"/>
      <c r="G155" s="312"/>
      <c r="H155" s="312"/>
      <c r="I155" s="537" t="s">
        <v>14</v>
      </c>
      <c r="J155" s="537" t="s">
        <v>14</v>
      </c>
    </row>
    <row r="156" spans="3:10">
      <c r="C156" s="312" t="s">
        <v>418</v>
      </c>
      <c r="D156" s="312"/>
      <c r="E156" s="312"/>
      <c r="F156" s="312"/>
      <c r="G156" s="312"/>
      <c r="H156" s="312"/>
      <c r="I156" s="537"/>
      <c r="J156" s="537"/>
    </row>
    <row r="157" spans="3:10">
      <c r="C157" s="315" t="s">
        <v>419</v>
      </c>
      <c r="D157" s="315"/>
      <c r="E157" s="315"/>
      <c r="F157" s="315"/>
      <c r="G157" s="315"/>
      <c r="H157" s="315"/>
      <c r="I157" s="537" t="s">
        <v>14</v>
      </c>
      <c r="J157" s="537" t="s">
        <v>14</v>
      </c>
    </row>
    <row r="158" spans="3:10">
      <c r="C158" s="315" t="s">
        <v>420</v>
      </c>
      <c r="D158" s="315"/>
      <c r="E158" s="315"/>
      <c r="F158" s="315"/>
      <c r="G158" s="315"/>
      <c r="H158" s="315"/>
      <c r="I158" s="537" t="s">
        <v>14</v>
      </c>
      <c r="J158" s="537" t="s">
        <v>14</v>
      </c>
    </row>
    <row r="159" spans="3:10">
      <c r="C159" s="315" t="s">
        <v>421</v>
      </c>
      <c r="D159" s="315"/>
      <c r="E159" s="315"/>
      <c r="F159" s="315"/>
      <c r="G159" s="315"/>
      <c r="H159" s="315"/>
      <c r="I159" s="537" t="s">
        <v>14</v>
      </c>
      <c r="J159" s="537" t="s">
        <v>14</v>
      </c>
    </row>
    <row r="160" spans="3:10">
      <c r="C160" s="312" t="s">
        <v>422</v>
      </c>
      <c r="D160" s="312"/>
      <c r="E160" s="312"/>
      <c r="F160" s="312"/>
      <c r="G160" s="312"/>
      <c r="H160" s="312"/>
      <c r="I160" s="537" t="s">
        <v>14</v>
      </c>
      <c r="J160" s="537" t="s">
        <v>14</v>
      </c>
    </row>
    <row r="161" spans="3:10">
      <c r="C161" s="312" t="s">
        <v>423</v>
      </c>
      <c r="D161" s="312"/>
      <c r="E161" s="312"/>
      <c r="F161" s="312"/>
      <c r="G161" s="312"/>
      <c r="H161" s="312"/>
      <c r="I161" s="537" t="s">
        <v>14</v>
      </c>
      <c r="J161" s="537" t="s">
        <v>14</v>
      </c>
    </row>
    <row r="162" spans="3:10">
      <c r="C162" s="2" t="s">
        <v>424</v>
      </c>
      <c r="D162" s="2"/>
      <c r="E162" s="2"/>
      <c r="F162" s="312"/>
      <c r="G162" s="312"/>
      <c r="H162" s="312"/>
      <c r="I162" s="537"/>
      <c r="J162" s="537"/>
    </row>
    <row r="163" spans="3:10">
      <c r="C163" s="312" t="s">
        <v>425</v>
      </c>
      <c r="D163" s="312"/>
      <c r="E163" s="312"/>
      <c r="F163" s="312"/>
      <c r="G163" s="312"/>
      <c r="H163" s="312"/>
      <c r="I163" s="537">
        <v>41061</v>
      </c>
      <c r="J163" s="537">
        <v>41061</v>
      </c>
    </row>
    <row r="164" spans="3:10">
      <c r="C164" s="312" t="s">
        <v>426</v>
      </c>
      <c r="D164" s="312"/>
      <c r="E164" s="312"/>
      <c r="F164" s="312"/>
      <c r="G164" s="312"/>
      <c r="H164" s="312"/>
      <c r="I164" s="537">
        <v>41061</v>
      </c>
      <c r="J164" s="537">
        <v>41061</v>
      </c>
    </row>
    <row r="165" spans="3:10">
      <c r="C165" s="315" t="s">
        <v>427</v>
      </c>
      <c r="D165" s="315"/>
      <c r="E165" s="315"/>
      <c r="F165" s="315"/>
      <c r="G165" s="315"/>
      <c r="H165" s="315"/>
      <c r="I165" s="537">
        <v>41061</v>
      </c>
      <c r="J165" s="537">
        <v>41061</v>
      </c>
    </row>
    <row r="166" spans="3:10">
      <c r="C166" s="315" t="s">
        <v>428</v>
      </c>
      <c r="D166" s="315"/>
      <c r="E166" s="315"/>
      <c r="F166" s="315"/>
      <c r="G166" s="315"/>
      <c r="H166" s="315"/>
      <c r="I166" s="537">
        <v>41061</v>
      </c>
      <c r="J166" s="537">
        <v>41061</v>
      </c>
    </row>
    <row r="167" spans="3:10">
      <c r="C167" s="312" t="s">
        <v>429</v>
      </c>
      <c r="D167" s="312"/>
      <c r="E167" s="312"/>
      <c r="F167" s="312"/>
      <c r="G167" s="312"/>
      <c r="H167" s="312"/>
      <c r="I167" s="537"/>
      <c r="J167" s="537"/>
    </row>
    <row r="168" spans="3:10">
      <c r="C168" s="315" t="s">
        <v>427</v>
      </c>
      <c r="D168" s="315"/>
      <c r="E168" s="315"/>
      <c r="F168" s="315"/>
      <c r="G168" s="315"/>
      <c r="H168" s="315"/>
      <c r="I168" s="537" t="s">
        <v>14</v>
      </c>
      <c r="J168" s="537" t="s">
        <v>14</v>
      </c>
    </row>
    <row r="169" spans="3:10">
      <c r="C169" s="315" t="s">
        <v>428</v>
      </c>
      <c r="D169" s="315"/>
      <c r="E169" s="315"/>
      <c r="F169" s="315"/>
      <c r="G169" s="315"/>
      <c r="H169" s="315"/>
      <c r="I169" s="537" t="s">
        <v>14</v>
      </c>
      <c r="J169" s="537" t="s">
        <v>14</v>
      </c>
    </row>
    <row r="170" spans="3:10">
      <c r="C170" s="312" t="s">
        <v>430</v>
      </c>
      <c r="D170" s="312"/>
      <c r="E170" s="312"/>
      <c r="F170" s="312"/>
      <c r="G170" s="312"/>
      <c r="H170" s="312"/>
      <c r="I170" s="537"/>
      <c r="J170" s="537"/>
    </row>
    <row r="171" spans="3:10">
      <c r="C171" s="315" t="s">
        <v>427</v>
      </c>
      <c r="D171" s="315"/>
      <c r="E171" s="315"/>
      <c r="F171" s="315"/>
      <c r="G171" s="315"/>
      <c r="H171" s="315"/>
      <c r="I171" s="537" t="s">
        <v>14</v>
      </c>
      <c r="J171" s="537" t="s">
        <v>14</v>
      </c>
    </row>
    <row r="172" spans="3:10">
      <c r="C172" s="315" t="s">
        <v>428</v>
      </c>
      <c r="D172" s="315"/>
      <c r="E172" s="315"/>
      <c r="F172" s="315"/>
      <c r="G172" s="315"/>
      <c r="H172" s="315"/>
      <c r="I172" s="537" t="s">
        <v>14</v>
      </c>
      <c r="J172" s="537" t="s">
        <v>14</v>
      </c>
    </row>
    <row r="173" spans="3:10">
      <c r="C173" s="312" t="s">
        <v>431</v>
      </c>
      <c r="D173" s="312"/>
      <c r="E173" s="312"/>
      <c r="F173" s="312"/>
      <c r="G173" s="312"/>
      <c r="H173" s="312"/>
      <c r="I173" s="537"/>
      <c r="J173" s="537"/>
    </row>
    <row r="174" spans="3:10">
      <c r="C174" s="315" t="s">
        <v>432</v>
      </c>
      <c r="D174" s="315"/>
      <c r="E174" s="315"/>
      <c r="F174" s="315"/>
      <c r="G174" s="315"/>
      <c r="H174" s="315"/>
      <c r="I174" s="537" t="s">
        <v>67</v>
      </c>
      <c r="J174" s="537" t="s">
        <v>67</v>
      </c>
    </row>
    <row r="175" spans="3:10">
      <c r="C175" s="315" t="s">
        <v>433</v>
      </c>
      <c r="D175" s="315"/>
      <c r="E175" s="315"/>
      <c r="F175" s="315"/>
      <c r="G175" s="315"/>
      <c r="H175" s="315"/>
      <c r="I175" s="537" t="s">
        <v>67</v>
      </c>
      <c r="J175" s="537" t="s">
        <v>67</v>
      </c>
    </row>
    <row r="176" spans="3:10">
      <c r="C176" s="315" t="s">
        <v>434</v>
      </c>
      <c r="D176" s="315"/>
      <c r="E176" s="315"/>
      <c r="F176" s="315"/>
      <c r="G176" s="315"/>
      <c r="H176" s="315"/>
      <c r="I176" s="537" t="s">
        <v>67</v>
      </c>
      <c r="J176" s="537" t="s">
        <v>67</v>
      </c>
    </row>
    <row r="177" spans="3:10">
      <c r="C177" s="315" t="s">
        <v>435</v>
      </c>
      <c r="D177" s="315"/>
      <c r="E177" s="315"/>
      <c r="F177" s="315"/>
      <c r="G177" s="315"/>
      <c r="H177" s="315"/>
      <c r="I177" s="537" t="s">
        <v>67</v>
      </c>
      <c r="J177" s="537" t="s">
        <v>67</v>
      </c>
    </row>
    <row r="178" spans="3:10">
      <c r="C178" s="310" t="s">
        <v>422</v>
      </c>
      <c r="D178" s="310"/>
      <c r="E178" s="310"/>
      <c r="F178" s="312"/>
      <c r="G178" s="312"/>
      <c r="H178" s="312"/>
      <c r="I178" s="537"/>
      <c r="J178" s="537"/>
    </row>
    <row r="179" spans="3:10">
      <c r="C179" s="312" t="s">
        <v>436</v>
      </c>
      <c r="D179" s="312"/>
      <c r="E179" s="312"/>
      <c r="F179" s="312"/>
      <c r="G179" s="312"/>
      <c r="H179" s="312"/>
      <c r="I179" s="537" t="s">
        <v>14</v>
      </c>
      <c r="J179" s="537" t="s">
        <v>14</v>
      </c>
    </row>
    <row r="180" spans="3:10">
      <c r="C180" s="312" t="s">
        <v>437</v>
      </c>
      <c r="D180" s="312"/>
      <c r="E180" s="312"/>
      <c r="F180" s="312"/>
      <c r="G180" s="312"/>
      <c r="H180" s="312"/>
      <c r="I180" s="537" t="s">
        <v>14</v>
      </c>
      <c r="J180" s="537" t="s">
        <v>14</v>
      </c>
    </row>
    <row r="181" spans="3:10">
      <c r="C181" s="312" t="s">
        <v>438</v>
      </c>
      <c r="D181" s="312"/>
      <c r="E181" s="312"/>
      <c r="F181" s="312"/>
      <c r="G181" s="312"/>
      <c r="H181" s="312"/>
      <c r="I181" s="537" t="s">
        <v>14</v>
      </c>
      <c r="J181" s="537" t="s">
        <v>14</v>
      </c>
    </row>
    <row r="182" spans="3:10">
      <c r="C182" s="312" t="s">
        <v>439</v>
      </c>
      <c r="D182" s="312"/>
      <c r="E182" s="312"/>
      <c r="F182" s="312"/>
      <c r="G182" s="312"/>
      <c r="H182" s="312"/>
      <c r="I182" s="537" t="s">
        <v>14</v>
      </c>
      <c r="J182" s="537" t="s">
        <v>14</v>
      </c>
    </row>
    <row r="183" spans="3:10">
      <c r="C183" s="310" t="s">
        <v>440</v>
      </c>
      <c r="D183" s="310"/>
      <c r="E183" s="310"/>
      <c r="F183" s="312"/>
      <c r="G183" s="312"/>
      <c r="H183" s="312"/>
      <c r="I183" s="537" t="s">
        <v>14</v>
      </c>
      <c r="J183" s="537" t="s">
        <v>14</v>
      </c>
    </row>
    <row r="184" spans="3:10">
      <c r="C184" s="310" t="s">
        <v>441</v>
      </c>
      <c r="D184" s="310"/>
      <c r="E184" s="310"/>
      <c r="F184" s="312"/>
      <c r="G184" s="312"/>
      <c r="H184" s="312"/>
      <c r="I184" s="537" t="s">
        <v>14</v>
      </c>
      <c r="J184" s="537" t="s">
        <v>14</v>
      </c>
    </row>
    <row r="185" spans="3:10">
      <c r="C185" s="310" t="s">
        <v>442</v>
      </c>
      <c r="D185" s="310"/>
      <c r="E185" s="310"/>
      <c r="F185" s="312"/>
      <c r="G185" s="312"/>
      <c r="H185" s="312"/>
      <c r="I185" s="537" t="s">
        <v>14</v>
      </c>
      <c r="J185" s="537" t="s">
        <v>14</v>
      </c>
    </row>
    <row r="186" spans="3:10">
      <c r="C186" s="310" t="s">
        <v>443</v>
      </c>
      <c r="D186" s="310"/>
      <c r="E186" s="310"/>
      <c r="F186" s="312"/>
      <c r="G186" s="312"/>
      <c r="H186" s="312"/>
      <c r="I186" s="537" t="s">
        <v>14</v>
      </c>
      <c r="J186" s="537" t="s">
        <v>14</v>
      </c>
    </row>
    <row r="187" spans="3:10">
      <c r="C187" s="310" t="s">
        <v>444</v>
      </c>
      <c r="D187" s="310"/>
      <c r="E187" s="310"/>
      <c r="F187" s="312"/>
      <c r="G187" s="312"/>
      <c r="H187" s="312"/>
      <c r="I187" s="537"/>
      <c r="J187" s="537"/>
    </row>
    <row r="188" spans="3:10">
      <c r="C188" s="312" t="s">
        <v>445</v>
      </c>
      <c r="D188" s="312"/>
      <c r="E188" s="312"/>
      <c r="F188" s="312"/>
      <c r="G188" s="312"/>
      <c r="H188" s="312"/>
      <c r="I188" s="537" t="s">
        <v>14</v>
      </c>
      <c r="J188" s="537" t="s">
        <v>14</v>
      </c>
    </row>
    <row r="189" spans="3:10">
      <c r="C189" s="315" t="s">
        <v>446</v>
      </c>
      <c r="D189" s="315"/>
      <c r="E189" s="315"/>
      <c r="F189" s="315"/>
      <c r="G189" s="315"/>
      <c r="H189" s="315"/>
      <c r="I189" s="537" t="s">
        <v>14</v>
      </c>
      <c r="J189" s="537" t="s">
        <v>14</v>
      </c>
    </row>
    <row r="190" spans="3:10">
      <c r="C190" s="315" t="s">
        <v>447</v>
      </c>
      <c r="D190" s="315"/>
      <c r="E190" s="315"/>
      <c r="F190" s="315"/>
      <c r="G190" s="315"/>
      <c r="H190" s="315"/>
      <c r="I190" s="537" t="s">
        <v>14</v>
      </c>
      <c r="J190" s="537" t="s">
        <v>14</v>
      </c>
    </row>
    <row r="191" spans="3:10">
      <c r="C191" s="315" t="s">
        <v>448</v>
      </c>
      <c r="D191" s="315"/>
      <c r="E191" s="315"/>
      <c r="F191" s="315"/>
      <c r="G191" s="315"/>
      <c r="H191" s="315"/>
      <c r="I191" s="537" t="s">
        <v>14</v>
      </c>
      <c r="J191" s="537" t="s">
        <v>14</v>
      </c>
    </row>
    <row r="192" spans="3:10">
      <c r="C192" s="312" t="s">
        <v>449</v>
      </c>
      <c r="D192" s="312"/>
      <c r="E192" s="312"/>
      <c r="F192" s="312"/>
      <c r="G192" s="312"/>
      <c r="H192" s="312"/>
      <c r="I192" s="537" t="s">
        <v>14</v>
      </c>
      <c r="J192" s="537" t="s">
        <v>14</v>
      </c>
    </row>
    <row r="193" spans="2:10">
      <c r="C193" s="312" t="s">
        <v>450</v>
      </c>
      <c r="D193" s="312"/>
      <c r="E193" s="312"/>
      <c r="F193" s="312"/>
      <c r="G193" s="312"/>
      <c r="H193" s="312"/>
      <c r="I193" s="537" t="s">
        <v>14</v>
      </c>
      <c r="J193" s="537" t="s">
        <v>14</v>
      </c>
    </row>
    <row r="194" spans="2:10">
      <c r="C194" s="315" t="s">
        <v>451</v>
      </c>
      <c r="D194" s="315"/>
      <c r="E194" s="315"/>
      <c r="F194" s="315"/>
      <c r="G194" s="315"/>
      <c r="H194" s="315"/>
      <c r="I194" s="537" t="s">
        <v>14</v>
      </c>
      <c r="J194" s="537" t="s">
        <v>14</v>
      </c>
    </row>
    <row r="195" spans="2:10">
      <c r="C195" s="315" t="s">
        <v>452</v>
      </c>
      <c r="D195" s="315"/>
      <c r="E195" s="315"/>
      <c r="F195" s="315"/>
      <c r="G195" s="315"/>
      <c r="H195" s="315"/>
      <c r="I195" s="537" t="s">
        <v>14</v>
      </c>
      <c r="J195" s="537" t="s">
        <v>14</v>
      </c>
    </row>
    <row r="196" spans="2:10">
      <c r="C196" s="350" t="s">
        <v>529</v>
      </c>
      <c r="D196" s="2"/>
      <c r="E196" s="2"/>
      <c r="F196" s="312"/>
      <c r="G196" s="312"/>
      <c r="H196" s="312"/>
      <c r="I196" s="537" t="s">
        <v>14</v>
      </c>
      <c r="J196" s="537" t="s">
        <v>14</v>
      </c>
    </row>
    <row r="197" spans="2:10">
      <c r="C197" s="2"/>
      <c r="D197" s="2"/>
      <c r="E197" s="2"/>
      <c r="F197" s="312"/>
      <c r="G197" s="312"/>
      <c r="H197" s="312"/>
      <c r="I197" s="537"/>
      <c r="J197" s="537"/>
    </row>
    <row r="198" spans="2:10">
      <c r="B198" s="12" t="s">
        <v>518</v>
      </c>
      <c r="C198" s="2"/>
      <c r="D198" s="2"/>
      <c r="E198" s="2"/>
      <c r="F198" s="312"/>
      <c r="G198" s="312"/>
      <c r="H198" s="312"/>
      <c r="I198" s="537" t="s">
        <v>14</v>
      </c>
      <c r="J198" s="537" t="s">
        <v>14</v>
      </c>
    </row>
    <row r="199" spans="2:10">
      <c r="B199" s="301"/>
      <c r="C199" s="2"/>
      <c r="D199" s="2"/>
      <c r="E199" s="2"/>
      <c r="F199" s="312"/>
      <c r="G199" s="312"/>
      <c r="H199" s="312"/>
      <c r="I199" s="537"/>
      <c r="J199" s="537"/>
    </row>
    <row r="200" spans="2:10">
      <c r="B200" s="308" t="s">
        <v>453</v>
      </c>
      <c r="C200" s="308"/>
      <c r="D200" s="308"/>
      <c r="E200" s="308"/>
      <c r="F200" s="313"/>
      <c r="G200" s="313"/>
      <c r="H200" s="313"/>
      <c r="I200" s="537" t="s">
        <v>14</v>
      </c>
      <c r="J200" s="537" t="s">
        <v>14</v>
      </c>
    </row>
    <row r="201" spans="2:10">
      <c r="C201" s="12" t="s">
        <v>454</v>
      </c>
      <c r="D201" s="12"/>
      <c r="E201" s="12"/>
      <c r="F201" s="313"/>
      <c r="G201" s="313"/>
      <c r="H201" s="313"/>
      <c r="I201" s="537" t="s">
        <v>14</v>
      </c>
      <c r="J201" s="537" t="s">
        <v>14</v>
      </c>
    </row>
    <row r="202" spans="2:10">
      <c r="C202" s="2"/>
      <c r="D202" s="2"/>
      <c r="E202" s="2"/>
      <c r="F202" s="312"/>
      <c r="G202" s="312"/>
      <c r="H202" s="312"/>
      <c r="I202" s="537"/>
      <c r="J202" s="537"/>
    </row>
    <row r="203" spans="2:10">
      <c r="B203" s="12" t="s">
        <v>455</v>
      </c>
      <c r="C203" s="2"/>
      <c r="D203" s="2"/>
      <c r="E203" s="2"/>
      <c r="F203" s="312"/>
      <c r="G203" s="312"/>
      <c r="H203" s="312"/>
      <c r="I203" s="537" t="s">
        <v>14</v>
      </c>
      <c r="J203" s="537" t="s">
        <v>14</v>
      </c>
    </row>
    <row r="204" spans="2:10">
      <c r="B204" s="2"/>
      <c r="C204" s="2"/>
      <c r="D204" s="2"/>
      <c r="E204" s="2"/>
      <c r="F204" s="312"/>
      <c r="G204" s="312"/>
      <c r="H204" s="312"/>
      <c r="I204" s="537"/>
      <c r="J204" s="537"/>
    </row>
    <row r="205" spans="2:10">
      <c r="B205" s="308" t="s">
        <v>456</v>
      </c>
      <c r="C205" s="2"/>
      <c r="D205" s="2"/>
      <c r="E205" s="2"/>
      <c r="F205" s="312"/>
      <c r="G205" s="312"/>
      <c r="H205" s="312"/>
      <c r="I205" s="537"/>
      <c r="J205" s="537"/>
    </row>
    <row r="206" spans="2:10">
      <c r="C206" s="2" t="s">
        <v>457</v>
      </c>
      <c r="D206" s="2"/>
      <c r="E206" s="2"/>
      <c r="F206" s="312"/>
      <c r="G206" s="312"/>
      <c r="H206" s="312"/>
      <c r="I206" s="537" t="s">
        <v>14</v>
      </c>
      <c r="J206" s="537" t="s">
        <v>14</v>
      </c>
    </row>
    <row r="207" spans="2:10">
      <c r="C207" s="2" t="s">
        <v>458</v>
      </c>
      <c r="D207" s="2"/>
      <c r="E207" s="2"/>
      <c r="F207" s="312"/>
      <c r="G207" s="312"/>
      <c r="H207" s="312"/>
      <c r="I207" s="537" t="s">
        <v>14</v>
      </c>
      <c r="J207" s="537" t="s">
        <v>14</v>
      </c>
    </row>
    <row r="208" spans="2:10">
      <c r="C208" s="312" t="s">
        <v>459</v>
      </c>
      <c r="D208" s="312"/>
      <c r="E208" s="312"/>
      <c r="F208" s="312"/>
      <c r="G208" s="312"/>
      <c r="H208" s="312"/>
      <c r="I208" s="537" t="s">
        <v>14</v>
      </c>
      <c r="J208" s="537" t="s">
        <v>14</v>
      </c>
    </row>
    <row r="209" spans="2:10">
      <c r="C209" s="312" t="s">
        <v>460</v>
      </c>
      <c r="D209" s="312"/>
      <c r="E209" s="312"/>
      <c r="F209" s="312"/>
      <c r="G209" s="312"/>
      <c r="H209" s="312"/>
      <c r="I209" s="537" t="s">
        <v>14</v>
      </c>
      <c r="J209" s="537" t="s">
        <v>14</v>
      </c>
    </row>
    <row r="210" spans="2:10">
      <c r="C210" s="312" t="s">
        <v>461</v>
      </c>
      <c r="D210" s="312"/>
      <c r="E210" s="312"/>
      <c r="F210" s="312"/>
      <c r="G210" s="312"/>
      <c r="H210" s="312"/>
      <c r="I210" s="537" t="s">
        <v>14</v>
      </c>
      <c r="J210" s="537" t="s">
        <v>14</v>
      </c>
    </row>
    <row r="211" spans="2:10">
      <c r="C211" s="315" t="s">
        <v>462</v>
      </c>
      <c r="D211" s="315"/>
      <c r="E211" s="315"/>
      <c r="F211" s="315"/>
      <c r="G211" s="315"/>
      <c r="H211" s="315"/>
      <c r="I211" s="537" t="s">
        <v>14</v>
      </c>
      <c r="J211" s="537" t="s">
        <v>14</v>
      </c>
    </row>
    <row r="212" spans="2:10">
      <c r="C212" s="315" t="s">
        <v>463</v>
      </c>
      <c r="D212" s="315"/>
      <c r="E212" s="315"/>
      <c r="F212" s="315"/>
      <c r="G212" s="315"/>
      <c r="H212" s="315"/>
      <c r="I212" s="537" t="s">
        <v>14</v>
      </c>
      <c r="J212" s="537" t="s">
        <v>14</v>
      </c>
    </row>
    <row r="213" spans="2:10">
      <c r="C213" s="315" t="s">
        <v>464</v>
      </c>
      <c r="D213" s="315"/>
      <c r="E213" s="315"/>
      <c r="F213" s="315"/>
      <c r="G213" s="315"/>
      <c r="H213" s="315"/>
      <c r="I213" s="537" t="s">
        <v>14</v>
      </c>
      <c r="J213" s="537" t="s">
        <v>14</v>
      </c>
    </row>
    <row r="214" spans="2:10">
      <c r="C214" s="315" t="s">
        <v>465</v>
      </c>
      <c r="D214" s="315"/>
      <c r="E214" s="315"/>
      <c r="F214" s="315"/>
      <c r="G214" s="315"/>
      <c r="H214" s="315"/>
      <c r="I214" s="537" t="s">
        <v>14</v>
      </c>
      <c r="J214" s="537" t="s">
        <v>14</v>
      </c>
    </row>
    <row r="215" spans="2:10">
      <c r="C215" s="315" t="s">
        <v>390</v>
      </c>
      <c r="D215" s="315"/>
      <c r="E215" s="315"/>
      <c r="F215" s="315"/>
      <c r="G215" s="315"/>
      <c r="H215" s="315"/>
      <c r="I215" s="537" t="s">
        <v>14</v>
      </c>
      <c r="J215" s="537" t="s">
        <v>14</v>
      </c>
    </row>
    <row r="216" spans="2:10">
      <c r="B216" s="312" t="s">
        <v>513</v>
      </c>
      <c r="C216" s="312" t="s">
        <v>466</v>
      </c>
      <c r="D216" s="312"/>
      <c r="E216" s="312"/>
      <c r="F216" s="312"/>
      <c r="G216" s="312"/>
      <c r="H216" s="312"/>
      <c r="I216" s="537" t="s">
        <v>14</v>
      </c>
      <c r="J216" s="537" t="s">
        <v>14</v>
      </c>
    </row>
    <row r="217" spans="2:10">
      <c r="C217" s="2" t="s">
        <v>345</v>
      </c>
      <c r="D217" s="2"/>
      <c r="E217" s="2"/>
      <c r="F217" s="312"/>
      <c r="G217" s="312"/>
      <c r="H217" s="312"/>
      <c r="I217" s="537"/>
      <c r="J217" s="537"/>
    </row>
    <row r="218" spans="2:10">
      <c r="C218" s="312" t="s">
        <v>467</v>
      </c>
      <c r="D218" s="312"/>
      <c r="E218" s="312"/>
      <c r="F218" s="312"/>
      <c r="G218" s="312"/>
      <c r="H218" s="312"/>
      <c r="I218" s="537" t="s">
        <v>14</v>
      </c>
      <c r="J218" s="537" t="s">
        <v>14</v>
      </c>
    </row>
    <row r="219" spans="2:10">
      <c r="C219" s="312" t="s">
        <v>468</v>
      </c>
      <c r="D219" s="312"/>
      <c r="E219" s="312"/>
      <c r="F219" s="312"/>
      <c r="G219" s="312"/>
      <c r="H219" s="312"/>
      <c r="I219" s="537" t="s">
        <v>14</v>
      </c>
      <c r="J219" s="537" t="s">
        <v>14</v>
      </c>
    </row>
    <row r="220" spans="2:10">
      <c r="C220" s="312" t="s">
        <v>469</v>
      </c>
      <c r="D220" s="312"/>
      <c r="E220" s="312"/>
      <c r="F220" s="312"/>
      <c r="G220" s="312"/>
      <c r="H220" s="312"/>
      <c r="I220" s="537" t="s">
        <v>14</v>
      </c>
      <c r="J220" s="537" t="s">
        <v>14</v>
      </c>
    </row>
    <row r="221" spans="2:10">
      <c r="C221" s="312" t="s">
        <v>470</v>
      </c>
      <c r="D221" s="312"/>
      <c r="E221" s="312"/>
      <c r="F221" s="312"/>
      <c r="G221" s="312"/>
      <c r="H221" s="312"/>
      <c r="I221" s="537" t="s">
        <v>14</v>
      </c>
      <c r="J221" s="537" t="s">
        <v>14</v>
      </c>
    </row>
    <row r="222" spans="2:10">
      <c r="C222" s="312" t="s">
        <v>116</v>
      </c>
      <c r="D222" s="312"/>
      <c r="E222" s="312"/>
      <c r="F222" s="312"/>
      <c r="G222" s="312"/>
      <c r="H222" s="312"/>
      <c r="I222" s="537" t="s">
        <v>14</v>
      </c>
      <c r="J222" s="537" t="s">
        <v>14</v>
      </c>
    </row>
    <row r="223" spans="2:10">
      <c r="C223" s="301"/>
      <c r="D223" s="301"/>
      <c r="E223" s="301"/>
      <c r="F223" s="312"/>
      <c r="G223" s="312"/>
      <c r="H223" s="312"/>
      <c r="I223" s="537"/>
      <c r="J223" s="537"/>
    </row>
    <row r="224" spans="2:10">
      <c r="B224" s="308" t="s">
        <v>471</v>
      </c>
      <c r="C224" s="2"/>
      <c r="D224" s="2"/>
      <c r="E224" s="2"/>
      <c r="F224" s="312"/>
      <c r="G224" s="312"/>
      <c r="H224" s="312"/>
      <c r="I224" s="537"/>
      <c r="J224" s="537"/>
    </row>
    <row r="225" spans="2:10">
      <c r="C225" s="308" t="s">
        <v>472</v>
      </c>
      <c r="D225" s="2"/>
      <c r="E225" s="2"/>
      <c r="F225" s="312"/>
      <c r="G225" s="312"/>
      <c r="H225" s="312"/>
      <c r="I225" s="537">
        <v>41609</v>
      </c>
      <c r="J225" s="537">
        <v>41609</v>
      </c>
    </row>
    <row r="226" spans="2:10">
      <c r="C226" s="2"/>
      <c r="D226" s="2"/>
      <c r="E226" s="2"/>
      <c r="F226" s="312"/>
      <c r="G226" s="312"/>
      <c r="H226" s="312"/>
      <c r="I226" s="537"/>
      <c r="J226" s="537"/>
    </row>
    <row r="227" spans="2:10">
      <c r="B227" s="308" t="s">
        <v>473</v>
      </c>
      <c r="C227" s="2"/>
      <c r="D227" s="2"/>
      <c r="E227" s="2"/>
      <c r="F227" s="312"/>
      <c r="G227" s="312"/>
      <c r="H227" s="312"/>
      <c r="I227" s="537"/>
      <c r="J227" s="537"/>
    </row>
    <row r="228" spans="2:10">
      <c r="C228" s="2" t="s">
        <v>474</v>
      </c>
      <c r="D228" s="2"/>
      <c r="E228" s="2"/>
      <c r="F228" s="312"/>
      <c r="G228" s="312"/>
      <c r="H228" s="312"/>
      <c r="I228" s="537"/>
      <c r="J228" s="537"/>
    </row>
    <row r="229" spans="2:10">
      <c r="C229" s="312" t="s">
        <v>475</v>
      </c>
      <c r="D229" s="312"/>
      <c r="E229" s="312"/>
      <c r="F229" s="312"/>
      <c r="G229" s="312"/>
      <c r="H229" s="312"/>
      <c r="I229" s="537" t="s">
        <v>14</v>
      </c>
      <c r="J229" s="537" t="s">
        <v>14</v>
      </c>
    </row>
    <row r="230" spans="2:10">
      <c r="C230" s="312" t="s">
        <v>476</v>
      </c>
      <c r="D230" s="312"/>
      <c r="E230" s="312"/>
      <c r="F230" s="312"/>
      <c r="G230" s="312"/>
      <c r="H230" s="312"/>
      <c r="I230" s="537" t="s">
        <v>14</v>
      </c>
      <c r="J230" s="537" t="s">
        <v>14</v>
      </c>
    </row>
    <row r="231" spans="2:10">
      <c r="C231" s="312" t="s">
        <v>477</v>
      </c>
      <c r="D231" s="312"/>
      <c r="E231" s="312"/>
      <c r="F231" s="312"/>
      <c r="G231" s="312"/>
      <c r="H231" s="312"/>
      <c r="I231" s="537" t="s">
        <v>14</v>
      </c>
      <c r="J231" s="537" t="s">
        <v>14</v>
      </c>
    </row>
    <row r="232" spans="2:10">
      <c r="C232" s="350" t="s">
        <v>530</v>
      </c>
      <c r="D232" s="312"/>
      <c r="E232" s="312"/>
      <c r="F232" s="312"/>
      <c r="G232" s="312"/>
      <c r="H232" s="312"/>
      <c r="I232" s="537" t="s">
        <v>14</v>
      </c>
      <c r="J232" s="537" t="s">
        <v>14</v>
      </c>
    </row>
    <row r="233" spans="2:10">
      <c r="C233" s="2"/>
      <c r="D233" s="2"/>
      <c r="E233" s="2"/>
      <c r="F233" s="312"/>
      <c r="G233" s="312"/>
      <c r="H233" s="312"/>
      <c r="I233" s="537"/>
      <c r="J233" s="537"/>
    </row>
    <row r="234" spans="2:10">
      <c r="B234" s="308" t="s">
        <v>478</v>
      </c>
      <c r="C234" s="2"/>
      <c r="D234" s="2"/>
      <c r="E234" s="2"/>
      <c r="F234" s="312"/>
      <c r="G234" s="312"/>
      <c r="H234" s="312"/>
      <c r="I234" s="537" t="s">
        <v>14</v>
      </c>
      <c r="J234" s="537" t="s">
        <v>14</v>
      </c>
    </row>
    <row r="235" spans="2:10">
      <c r="C235" s="308" t="s">
        <v>479</v>
      </c>
      <c r="D235" s="2"/>
      <c r="E235" s="2"/>
      <c r="F235" s="312"/>
      <c r="G235" s="312"/>
      <c r="H235" s="312"/>
      <c r="I235" s="537" t="s">
        <v>14</v>
      </c>
      <c r="J235" s="537" t="s">
        <v>14</v>
      </c>
    </row>
    <row r="236" spans="2:10">
      <c r="C236" s="308" t="s">
        <v>480</v>
      </c>
      <c r="D236" s="2"/>
      <c r="E236" s="2"/>
      <c r="F236" s="312"/>
      <c r="G236" s="312"/>
      <c r="H236" s="312"/>
      <c r="I236" s="537" t="s">
        <v>14</v>
      </c>
      <c r="J236" s="537" t="s">
        <v>14</v>
      </c>
    </row>
    <row r="237" spans="2:10">
      <c r="C237" s="2" t="s">
        <v>481</v>
      </c>
      <c r="D237" s="2"/>
      <c r="E237" s="2"/>
      <c r="F237" s="312"/>
      <c r="G237" s="312"/>
      <c r="H237" s="312"/>
      <c r="I237" s="537" t="s">
        <v>14</v>
      </c>
      <c r="J237" s="537" t="s">
        <v>14</v>
      </c>
    </row>
    <row r="238" spans="2:10">
      <c r="C238" s="2" t="s">
        <v>482</v>
      </c>
      <c r="D238" s="2"/>
      <c r="E238" s="2"/>
      <c r="F238" s="312"/>
      <c r="G238" s="312"/>
      <c r="H238" s="312"/>
      <c r="I238" s="537" t="s">
        <v>14</v>
      </c>
      <c r="J238" s="537" t="s">
        <v>14</v>
      </c>
    </row>
    <row r="239" spans="2:10">
      <c r="C239" s="2" t="s">
        <v>483</v>
      </c>
      <c r="D239" s="2"/>
      <c r="E239" s="2"/>
      <c r="F239" s="312"/>
      <c r="G239" s="312"/>
      <c r="H239" s="312"/>
      <c r="I239" s="537" t="s">
        <v>14</v>
      </c>
      <c r="J239" s="537" t="s">
        <v>14</v>
      </c>
    </row>
    <row r="240" spans="2:10">
      <c r="C240" s="2" t="s">
        <v>484</v>
      </c>
      <c r="D240" s="2"/>
      <c r="E240" s="2"/>
      <c r="F240" s="312"/>
      <c r="G240" s="312"/>
      <c r="H240" s="312"/>
      <c r="I240" s="537"/>
      <c r="J240" s="537"/>
    </row>
    <row r="241" spans="2:10">
      <c r="C241" s="2" t="s">
        <v>485</v>
      </c>
      <c r="D241" s="2"/>
      <c r="E241" s="2"/>
      <c r="F241" s="312"/>
      <c r="G241" s="312"/>
      <c r="H241" s="312"/>
      <c r="I241" s="537" t="s">
        <v>14</v>
      </c>
      <c r="J241" s="537" t="s">
        <v>14</v>
      </c>
    </row>
    <row r="242" spans="2:10">
      <c r="C242" s="312" t="s">
        <v>486</v>
      </c>
      <c r="D242" s="312"/>
      <c r="E242" s="312"/>
      <c r="F242" s="312"/>
      <c r="G242" s="312"/>
      <c r="H242" s="312"/>
      <c r="I242" s="537" t="s">
        <v>14</v>
      </c>
      <c r="J242" s="537" t="s">
        <v>14</v>
      </c>
    </row>
    <row r="243" spans="2:10">
      <c r="C243" s="315" t="s">
        <v>487</v>
      </c>
      <c r="D243" s="315"/>
      <c r="E243" s="315"/>
      <c r="F243" s="315"/>
      <c r="G243" s="315"/>
      <c r="H243" s="315"/>
      <c r="I243" s="537" t="s">
        <v>14</v>
      </c>
      <c r="J243" s="537" t="s">
        <v>14</v>
      </c>
    </row>
    <row r="244" spans="2:10">
      <c r="C244" s="312" t="s">
        <v>486</v>
      </c>
      <c r="D244" s="312"/>
      <c r="E244" s="312"/>
      <c r="F244" s="312"/>
      <c r="G244" s="312"/>
      <c r="H244" s="312"/>
      <c r="I244" s="537" t="s">
        <v>14</v>
      </c>
      <c r="J244" s="537" t="s">
        <v>14</v>
      </c>
    </row>
    <row r="245" spans="2:10">
      <c r="C245" s="315" t="s">
        <v>488</v>
      </c>
      <c r="D245" s="315"/>
      <c r="E245" s="315"/>
      <c r="F245" s="315"/>
      <c r="G245" s="315"/>
      <c r="H245" s="315"/>
      <c r="I245" s="537" t="s">
        <v>14</v>
      </c>
      <c r="J245" s="537" t="s">
        <v>14</v>
      </c>
    </row>
    <row r="246" spans="2:10">
      <c r="C246" s="312" t="s">
        <v>486</v>
      </c>
      <c r="D246" s="312"/>
      <c r="E246" s="312"/>
      <c r="F246" s="312"/>
      <c r="G246" s="312"/>
      <c r="H246" s="312"/>
      <c r="I246" s="537" t="s">
        <v>14</v>
      </c>
      <c r="J246" s="537" t="s">
        <v>14</v>
      </c>
    </row>
    <row r="247" spans="2:10">
      <c r="C247" s="315" t="s">
        <v>488</v>
      </c>
      <c r="D247" s="315"/>
      <c r="E247" s="315"/>
      <c r="F247" s="315"/>
      <c r="G247" s="315"/>
      <c r="H247" s="315"/>
      <c r="I247" s="537" t="s">
        <v>14</v>
      </c>
      <c r="J247" s="537" t="s">
        <v>14</v>
      </c>
    </row>
    <row r="248" spans="2:10">
      <c r="C248" s="312" t="s">
        <v>486</v>
      </c>
      <c r="D248" s="312"/>
      <c r="E248" s="312"/>
      <c r="F248" s="312"/>
      <c r="G248" s="312"/>
      <c r="H248" s="312"/>
      <c r="I248" s="537" t="s">
        <v>14</v>
      </c>
      <c r="J248" s="537" t="s">
        <v>14</v>
      </c>
    </row>
    <row r="249" spans="2:10">
      <c r="C249" s="315" t="s">
        <v>488</v>
      </c>
      <c r="D249" s="315"/>
      <c r="E249" s="315"/>
      <c r="F249" s="315"/>
      <c r="G249" s="315"/>
      <c r="H249" s="315"/>
      <c r="I249" s="537" t="s">
        <v>14</v>
      </c>
      <c r="J249" s="537" t="s">
        <v>14</v>
      </c>
    </row>
    <row r="250" spans="2:10">
      <c r="C250" s="312" t="s">
        <v>486</v>
      </c>
      <c r="D250" s="312"/>
      <c r="E250" s="312"/>
      <c r="F250" s="312"/>
      <c r="G250" s="312"/>
      <c r="H250" s="312"/>
      <c r="I250" s="537" t="s">
        <v>14</v>
      </c>
      <c r="J250" s="537" t="s">
        <v>14</v>
      </c>
    </row>
    <row r="251" spans="2:10">
      <c r="C251" s="315" t="s">
        <v>488</v>
      </c>
      <c r="D251" s="315"/>
      <c r="E251" s="315"/>
      <c r="F251" s="315"/>
      <c r="G251" s="315"/>
      <c r="H251" s="315"/>
      <c r="I251" s="537" t="s">
        <v>14</v>
      </c>
      <c r="J251" s="537" t="s">
        <v>14</v>
      </c>
    </row>
    <row r="252" spans="2:10">
      <c r="C252" s="312" t="s">
        <v>486</v>
      </c>
      <c r="D252" s="312"/>
      <c r="E252" s="312"/>
      <c r="F252" s="312"/>
      <c r="G252" s="312"/>
      <c r="H252" s="312"/>
      <c r="I252" s="537" t="s">
        <v>14</v>
      </c>
      <c r="J252" s="537" t="s">
        <v>14</v>
      </c>
    </row>
    <row r="253" spans="2:10">
      <c r="B253" s="315" t="s">
        <v>489</v>
      </c>
      <c r="C253" s="315" t="s">
        <v>489</v>
      </c>
      <c r="D253" s="315"/>
      <c r="E253" s="315"/>
      <c r="F253" s="315"/>
      <c r="G253" s="315"/>
      <c r="H253" s="315"/>
      <c r="I253" s="537" t="s">
        <v>14</v>
      </c>
      <c r="J253" s="537" t="s">
        <v>14</v>
      </c>
    </row>
    <row r="254" spans="2:10">
      <c r="C254" s="308" t="s">
        <v>539</v>
      </c>
      <c r="D254" s="2"/>
      <c r="E254" s="2"/>
      <c r="F254" s="312"/>
      <c r="G254" s="312"/>
      <c r="H254" s="312"/>
      <c r="I254" s="537" t="s">
        <v>14</v>
      </c>
      <c r="J254" s="537" t="s">
        <v>14</v>
      </c>
    </row>
    <row r="255" spans="2:10">
      <c r="C255" s="308" t="s">
        <v>490</v>
      </c>
      <c r="D255" s="2"/>
      <c r="E255" s="2"/>
      <c r="F255" s="312"/>
      <c r="G255" s="312"/>
      <c r="H255" s="312"/>
      <c r="I255" s="537" t="s">
        <v>14</v>
      </c>
      <c r="J255" s="537" t="s">
        <v>14</v>
      </c>
    </row>
    <row r="256" spans="2:10">
      <c r="C256" s="2" t="s">
        <v>491</v>
      </c>
      <c r="D256" s="2"/>
      <c r="E256" s="2"/>
      <c r="F256" s="312"/>
      <c r="G256" s="312"/>
      <c r="H256" s="312"/>
      <c r="I256" s="537"/>
      <c r="J256" s="537"/>
    </row>
    <row r="257" spans="2:10">
      <c r="C257" s="2"/>
      <c r="D257" s="2"/>
      <c r="E257" s="2"/>
      <c r="F257" s="312"/>
      <c r="G257" s="312"/>
      <c r="H257" s="312"/>
      <c r="I257" s="537"/>
      <c r="J257" s="537"/>
    </row>
    <row r="258" spans="2:10">
      <c r="B258" s="309" t="s">
        <v>492</v>
      </c>
      <c r="C258" s="308"/>
      <c r="D258" s="308"/>
      <c r="E258" s="308"/>
      <c r="F258" s="313"/>
      <c r="G258" s="313"/>
      <c r="H258" s="313"/>
      <c r="I258" s="537"/>
      <c r="J258" s="537"/>
    </row>
    <row r="259" spans="2:10">
      <c r="C259" s="2" t="s">
        <v>493</v>
      </c>
      <c r="D259" s="2"/>
      <c r="E259" s="2"/>
      <c r="F259" s="312"/>
      <c r="G259" s="312"/>
      <c r="H259" s="312"/>
      <c r="I259" s="537"/>
      <c r="J259" s="537"/>
    </row>
    <row r="260" spans="2:10">
      <c r="B260" s="312" t="s">
        <v>494</v>
      </c>
      <c r="C260" s="312" t="s">
        <v>494</v>
      </c>
      <c r="D260" s="312"/>
      <c r="E260" s="312"/>
      <c r="F260" s="312"/>
      <c r="G260" s="312"/>
      <c r="H260" s="312"/>
      <c r="I260" s="537" t="s">
        <v>14</v>
      </c>
      <c r="J260" s="537" t="s">
        <v>14</v>
      </c>
    </row>
    <row r="261" spans="2:10">
      <c r="B261" s="312" t="s">
        <v>495</v>
      </c>
      <c r="C261" s="312" t="s">
        <v>495</v>
      </c>
      <c r="D261" s="312"/>
      <c r="E261" s="312"/>
      <c r="F261" s="312"/>
      <c r="G261" s="312"/>
      <c r="H261" s="312"/>
      <c r="I261" s="537" t="s">
        <v>14</v>
      </c>
      <c r="J261" s="537" t="s">
        <v>14</v>
      </c>
    </row>
    <row r="262" spans="2:10">
      <c r="B262" s="312" t="s">
        <v>496</v>
      </c>
      <c r="C262" s="312" t="s">
        <v>496</v>
      </c>
      <c r="D262" s="312"/>
      <c r="E262" s="312"/>
      <c r="F262" s="312"/>
      <c r="G262" s="312"/>
      <c r="H262" s="312"/>
      <c r="I262" s="537" t="s">
        <v>14</v>
      </c>
      <c r="J262" s="537" t="s">
        <v>14</v>
      </c>
    </row>
    <row r="263" spans="2:10">
      <c r="B263" s="312" t="s">
        <v>497</v>
      </c>
      <c r="C263" s="312" t="s">
        <v>497</v>
      </c>
      <c r="D263" s="312"/>
      <c r="E263" s="312"/>
      <c r="F263" s="312"/>
      <c r="G263" s="312"/>
      <c r="H263" s="312"/>
      <c r="I263" s="537" t="s">
        <v>14</v>
      </c>
      <c r="J263" s="537" t="s">
        <v>14</v>
      </c>
    </row>
    <row r="264" spans="2:10">
      <c r="B264" s="312" t="s">
        <v>498</v>
      </c>
      <c r="C264" s="312" t="s">
        <v>498</v>
      </c>
      <c r="D264" s="312"/>
      <c r="E264" s="312"/>
      <c r="F264" s="312"/>
      <c r="G264" s="312"/>
      <c r="H264" s="312"/>
      <c r="I264" s="537" t="s">
        <v>14</v>
      </c>
      <c r="J264" s="537" t="s">
        <v>14</v>
      </c>
    </row>
    <row r="265" spans="2:10">
      <c r="B265" s="312" t="s">
        <v>499</v>
      </c>
      <c r="C265" s="312" t="s">
        <v>499</v>
      </c>
      <c r="D265" s="312"/>
      <c r="E265" s="312"/>
      <c r="F265" s="312"/>
      <c r="G265" s="312"/>
      <c r="H265" s="312"/>
      <c r="I265" s="537" t="s">
        <v>14</v>
      </c>
      <c r="J265" s="537" t="s">
        <v>14</v>
      </c>
    </row>
    <row r="266" spans="2:10">
      <c r="C266" s="2" t="s">
        <v>500</v>
      </c>
      <c r="D266" s="2"/>
      <c r="E266" s="2"/>
      <c r="F266" s="312"/>
      <c r="G266" s="312"/>
      <c r="H266" s="312"/>
      <c r="I266" s="537"/>
      <c r="J266" s="537"/>
    </row>
    <row r="267" spans="2:10">
      <c r="C267" s="312" t="s">
        <v>494</v>
      </c>
      <c r="D267" s="312"/>
      <c r="E267" s="312"/>
      <c r="F267" s="312"/>
      <c r="G267" s="312"/>
      <c r="H267" s="312"/>
      <c r="I267" s="537" t="s">
        <v>67</v>
      </c>
      <c r="J267" s="537" t="s">
        <v>67</v>
      </c>
    </row>
    <row r="268" spans="2:10">
      <c r="C268" s="312" t="s">
        <v>495</v>
      </c>
      <c r="D268" s="312"/>
      <c r="E268" s="312"/>
      <c r="F268" s="312"/>
      <c r="G268" s="312"/>
      <c r="H268" s="312"/>
      <c r="I268" s="537" t="s">
        <v>67</v>
      </c>
      <c r="J268" s="537" t="s">
        <v>67</v>
      </c>
    </row>
    <row r="269" spans="2:10">
      <c r="C269" s="312" t="s">
        <v>496</v>
      </c>
      <c r="D269" s="312"/>
      <c r="E269" s="312"/>
      <c r="F269" s="312"/>
      <c r="G269" s="312"/>
      <c r="H269" s="312"/>
      <c r="I269" s="537" t="s">
        <v>67</v>
      </c>
      <c r="J269" s="537" t="s">
        <v>67</v>
      </c>
    </row>
    <row r="270" spans="2:10">
      <c r="C270" s="312" t="s">
        <v>497</v>
      </c>
      <c r="D270" s="312"/>
      <c r="E270" s="312"/>
      <c r="F270" s="312"/>
      <c r="G270" s="312"/>
      <c r="H270" s="312"/>
      <c r="I270" s="537" t="s">
        <v>67</v>
      </c>
      <c r="J270" s="537" t="s">
        <v>67</v>
      </c>
    </row>
    <row r="271" spans="2:10">
      <c r="C271" s="312" t="s">
        <v>498</v>
      </c>
      <c r="D271" s="312"/>
      <c r="E271" s="312"/>
      <c r="F271" s="312"/>
      <c r="G271" s="312"/>
      <c r="H271" s="312"/>
      <c r="I271" s="537" t="s">
        <v>67</v>
      </c>
      <c r="J271" s="537" t="s">
        <v>67</v>
      </c>
    </row>
    <row r="272" spans="2:10">
      <c r="C272" s="312" t="s">
        <v>499</v>
      </c>
      <c r="D272" s="312"/>
      <c r="E272" s="312"/>
      <c r="F272" s="312"/>
      <c r="G272" s="312"/>
      <c r="H272" s="312"/>
      <c r="I272" s="537" t="s">
        <v>67</v>
      </c>
      <c r="J272" s="537" t="s">
        <v>67</v>
      </c>
    </row>
    <row r="273" spans="2:10">
      <c r="C273" s="308" t="s">
        <v>541</v>
      </c>
      <c r="D273" s="2"/>
      <c r="E273" s="2"/>
      <c r="F273" s="312"/>
      <c r="G273" s="312"/>
      <c r="H273" s="312"/>
      <c r="I273" s="537" t="s">
        <v>14</v>
      </c>
      <c r="J273" s="537" t="s">
        <v>14</v>
      </c>
    </row>
    <row r="274" spans="2:10">
      <c r="C274" s="2"/>
      <c r="D274" s="2"/>
      <c r="E274" s="2"/>
      <c r="F274" s="312"/>
      <c r="G274" s="312"/>
      <c r="H274" s="312"/>
      <c r="I274" s="542"/>
      <c r="J274" s="542"/>
    </row>
    <row r="275" spans="2:10">
      <c r="B275" s="309" t="s">
        <v>501</v>
      </c>
      <c r="C275" s="308"/>
      <c r="D275" s="308"/>
      <c r="E275" s="308"/>
      <c r="F275" s="312"/>
      <c r="G275" s="312"/>
      <c r="H275" s="312"/>
      <c r="I275" s="542"/>
      <c r="J275" s="542"/>
    </row>
    <row r="276" spans="2:10">
      <c r="C276" s="308" t="s">
        <v>502</v>
      </c>
      <c r="D276" s="2"/>
      <c r="E276" s="2"/>
      <c r="F276" s="312"/>
      <c r="G276" s="312"/>
      <c r="H276" s="312"/>
      <c r="I276" s="545" t="s">
        <v>14</v>
      </c>
      <c r="J276" s="545" t="s">
        <v>14</v>
      </c>
    </row>
    <row r="277" spans="2:10">
      <c r="C277" s="2" t="s">
        <v>503</v>
      </c>
      <c r="D277" s="2"/>
      <c r="E277" s="2"/>
      <c r="F277" s="312"/>
      <c r="G277" s="312"/>
      <c r="H277" s="312"/>
      <c r="I277" s="545"/>
      <c r="J277" s="545"/>
    </row>
    <row r="278" spans="2:10">
      <c r="C278" s="312" t="s">
        <v>342</v>
      </c>
      <c r="D278" s="312"/>
      <c r="E278" s="312"/>
      <c r="F278" s="312"/>
      <c r="G278" s="312"/>
      <c r="H278" s="312"/>
      <c r="I278" s="545" t="s">
        <v>14</v>
      </c>
      <c r="J278" s="545" t="s">
        <v>14</v>
      </c>
    </row>
    <row r="279" spans="2:10">
      <c r="C279" s="312" t="s">
        <v>504</v>
      </c>
      <c r="D279" s="312"/>
      <c r="E279" s="312"/>
      <c r="F279" s="312"/>
      <c r="G279" s="312"/>
      <c r="H279" s="312"/>
      <c r="I279" s="545" t="s">
        <v>14</v>
      </c>
      <c r="J279" s="545" t="s">
        <v>14</v>
      </c>
    </row>
    <row r="280" spans="2:10">
      <c r="C280" s="312" t="s">
        <v>385</v>
      </c>
      <c r="D280" s="312"/>
      <c r="E280" s="312"/>
      <c r="F280" s="312"/>
      <c r="G280" s="312"/>
      <c r="H280" s="312"/>
      <c r="I280" s="545" t="s">
        <v>14</v>
      </c>
      <c r="J280" s="545" t="s">
        <v>14</v>
      </c>
    </row>
    <row r="281" spans="2:10">
      <c r="C281" s="312" t="s">
        <v>505</v>
      </c>
      <c r="D281" s="312"/>
      <c r="E281" s="312"/>
      <c r="F281" s="312"/>
      <c r="G281" s="312"/>
      <c r="H281" s="312"/>
      <c r="I281" s="545" t="s">
        <v>14</v>
      </c>
      <c r="J281" s="545" t="s">
        <v>14</v>
      </c>
    </row>
    <row r="282" spans="2:10">
      <c r="C282" s="312" t="s">
        <v>506</v>
      </c>
      <c r="D282" s="312"/>
      <c r="E282" s="312"/>
      <c r="F282" s="312"/>
      <c r="G282" s="312"/>
      <c r="H282" s="312"/>
      <c r="I282" s="545" t="s">
        <v>14</v>
      </c>
      <c r="J282" s="545" t="s">
        <v>14</v>
      </c>
    </row>
    <row r="283" spans="2:10">
      <c r="C283" s="312" t="s">
        <v>409</v>
      </c>
      <c r="D283" s="312"/>
      <c r="E283" s="312"/>
      <c r="F283" s="312"/>
      <c r="G283" s="312"/>
      <c r="H283" s="312"/>
      <c r="I283" s="545"/>
      <c r="J283" s="545"/>
    </row>
    <row r="284" spans="2:10">
      <c r="C284" s="315" t="s">
        <v>507</v>
      </c>
      <c r="D284" s="315"/>
      <c r="E284" s="315"/>
      <c r="F284" s="315"/>
      <c r="G284" s="315"/>
      <c r="H284" s="315"/>
      <c r="I284" s="545" t="s">
        <v>14</v>
      </c>
      <c r="J284" s="545" t="s">
        <v>14</v>
      </c>
    </row>
    <row r="285" spans="2:10">
      <c r="C285" s="315" t="s">
        <v>508</v>
      </c>
      <c r="D285" s="315"/>
      <c r="E285" s="315"/>
      <c r="F285" s="315"/>
      <c r="G285" s="315"/>
      <c r="H285" s="315"/>
      <c r="I285" s="545" t="s">
        <v>14</v>
      </c>
      <c r="J285" s="545" t="s">
        <v>14</v>
      </c>
    </row>
    <row r="286" spans="2:10">
      <c r="C286" s="315" t="s">
        <v>509</v>
      </c>
      <c r="D286" s="315"/>
      <c r="E286" s="315"/>
      <c r="F286" s="315"/>
      <c r="G286" s="315"/>
      <c r="H286" s="315"/>
      <c r="I286" s="545" t="s">
        <v>14</v>
      </c>
      <c r="J286" s="545" t="s">
        <v>14</v>
      </c>
    </row>
    <row r="287" spans="2:10">
      <c r="C287" s="2"/>
      <c r="D287" s="2"/>
      <c r="E287" s="2"/>
      <c r="F287" s="311"/>
      <c r="G287" s="311"/>
      <c r="H287" s="311"/>
      <c r="I287" s="545"/>
      <c r="J287" s="545"/>
    </row>
    <row r="288" spans="2:10">
      <c r="B288" s="309" t="s">
        <v>501</v>
      </c>
      <c r="C288" s="2"/>
      <c r="D288" s="2"/>
      <c r="E288" s="2"/>
      <c r="F288" s="311"/>
      <c r="G288" s="311"/>
      <c r="H288" s="311"/>
      <c r="I288" s="545"/>
      <c r="J288" s="545"/>
    </row>
    <row r="289" spans="3:15">
      <c r="C289" s="308" t="s">
        <v>510</v>
      </c>
      <c r="D289" s="2"/>
      <c r="E289" s="2"/>
      <c r="F289" s="311"/>
      <c r="G289" s="311"/>
      <c r="H289" s="311"/>
      <c r="I289" s="545" t="s">
        <v>14</v>
      </c>
      <c r="J289" s="545" t="s">
        <v>14</v>
      </c>
    </row>
    <row r="290" spans="3:15">
      <c r="C290" s="308" t="s">
        <v>511</v>
      </c>
      <c r="D290" s="2"/>
      <c r="E290" s="2"/>
      <c r="F290" s="311"/>
      <c r="G290" s="311"/>
      <c r="H290" s="311"/>
      <c r="I290" s="545" t="s">
        <v>14</v>
      </c>
      <c r="J290" s="545" t="s">
        <v>14</v>
      </c>
    </row>
    <row r="291" spans="3:15">
      <c r="C291" s="2"/>
      <c r="D291" s="2"/>
      <c r="E291" s="2"/>
      <c r="F291" s="2"/>
      <c r="G291" s="2"/>
      <c r="H291" s="2"/>
      <c r="I291" s="2" t="s">
        <v>14</v>
      </c>
      <c r="J291" s="7" t="s">
        <v>14</v>
      </c>
      <c r="K291" s="2"/>
      <c r="L291" s="2"/>
      <c r="M291" s="301"/>
      <c r="N291" s="2"/>
      <c r="O291" s="301"/>
    </row>
  </sheetData>
  <sheetProtection selectLockedCells="1"/>
  <mergeCells count="109">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39:D39"/>
    <mergeCell ref="H39:M39"/>
    <mergeCell ref="C40:D40"/>
    <mergeCell ref="H40:M40"/>
    <mergeCell ref="C41:D41"/>
    <mergeCell ref="H41:M41"/>
    <mergeCell ref="C24:D24"/>
    <mergeCell ref="F24:G24"/>
    <mergeCell ref="K24:M24"/>
    <mergeCell ref="C27:M34"/>
    <mergeCell ref="H37:M37"/>
    <mergeCell ref="C38:D38"/>
    <mergeCell ref="H38:M38"/>
    <mergeCell ref="C45:D45"/>
    <mergeCell ref="H45:M45"/>
    <mergeCell ref="C46:D46"/>
    <mergeCell ref="H46:M46"/>
    <mergeCell ref="C47:D47"/>
    <mergeCell ref="H47:M47"/>
    <mergeCell ref="C42:D42"/>
    <mergeCell ref="H42:M42"/>
    <mergeCell ref="C43:D43"/>
    <mergeCell ref="H43:M43"/>
    <mergeCell ref="C44:D44"/>
    <mergeCell ref="H44:M44"/>
    <mergeCell ref="C51:D51"/>
    <mergeCell ref="H51:M51"/>
    <mergeCell ref="C52:D52"/>
    <mergeCell ref="H52:M52"/>
    <mergeCell ref="C53:D53"/>
    <mergeCell ref="H53:M53"/>
    <mergeCell ref="C48:D48"/>
    <mergeCell ref="H48:M48"/>
    <mergeCell ref="C49:D49"/>
    <mergeCell ref="H49:M49"/>
    <mergeCell ref="C50:D50"/>
    <mergeCell ref="H50:M50"/>
    <mergeCell ref="I65:J65"/>
    <mergeCell ref="C57:D57"/>
    <mergeCell ref="H57:M57"/>
    <mergeCell ref="C58:D58"/>
    <mergeCell ref="H58:M58"/>
    <mergeCell ref="I63:J63"/>
    <mergeCell ref="I64:J64"/>
    <mergeCell ref="C54:D54"/>
    <mergeCell ref="H54:M54"/>
    <mergeCell ref="C55:D55"/>
    <mergeCell ref="H55:M55"/>
    <mergeCell ref="C56:D56"/>
    <mergeCell ref="H56:M56"/>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9">
    <tabColor rgb="FF00B0F0"/>
  </sheetPr>
  <dimension ref="B1:U291"/>
  <sheetViews>
    <sheetView topLeftCell="A4" workbookViewId="0">
      <selection activeCell="L12" sqref="L12:M12"/>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Detail!A42</f>
        <v>Children's Memorial Site</v>
      </c>
      <c r="D2" s="341"/>
      <c r="E2" s="341"/>
      <c r="F2" s="120"/>
      <c r="G2" s="120"/>
      <c r="H2" s="120"/>
      <c r="I2" s="120"/>
      <c r="J2" s="120"/>
      <c r="K2" s="120"/>
      <c r="L2" s="120"/>
      <c r="M2" s="121"/>
      <c r="N2" s="319"/>
    </row>
    <row r="3" spans="2:21" s="122" customFormat="1" ht="20.25" customHeight="1" thickBot="1">
      <c r="B3" s="319"/>
      <c r="C3" s="136" t="str">
        <f>Detail!B42</f>
        <v>M Angelini</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Detail!V42</f>
        <v>Senior</v>
      </c>
      <c r="G6" s="836"/>
      <c r="H6" s="357"/>
      <c r="I6" s="833" t="s">
        <v>219</v>
      </c>
      <c r="J6" s="834"/>
      <c r="K6" s="834"/>
      <c r="L6" s="837" t="str">
        <f>Detail!I42</f>
        <v>LIHTC - 9%</v>
      </c>
      <c r="M6" s="838"/>
      <c r="N6" s="318"/>
    </row>
    <row r="7" spans="2:21" ht="17.25" customHeight="1">
      <c r="B7" s="318"/>
      <c r="C7" s="796" t="s">
        <v>214</v>
      </c>
      <c r="D7" s="797"/>
      <c r="E7" s="352"/>
      <c r="F7" s="819" t="str">
        <f>Detail!C42</f>
        <v>Chicago</v>
      </c>
      <c r="G7" s="820"/>
      <c r="H7" s="357"/>
      <c r="I7" s="796" t="s">
        <v>183</v>
      </c>
      <c r="J7" s="797"/>
      <c r="K7" s="797"/>
      <c r="L7" s="830" t="str">
        <f>Detail!J42</f>
        <v>TBD</v>
      </c>
      <c r="M7" s="831"/>
      <c r="N7" s="318"/>
    </row>
    <row r="8" spans="2:21">
      <c r="B8" s="318"/>
      <c r="C8" s="796" t="s">
        <v>9</v>
      </c>
      <c r="D8" s="797"/>
      <c r="E8" s="352"/>
      <c r="F8" s="819" t="str">
        <f>Detail!D42</f>
        <v>Adaptive/ Rehab</v>
      </c>
      <c r="G8" s="820"/>
      <c r="H8" s="357"/>
      <c r="I8" s="796" t="s">
        <v>184</v>
      </c>
      <c r="J8" s="797"/>
      <c r="K8" s="797"/>
      <c r="L8" s="830" t="str">
        <f>Detail!K42</f>
        <v>TBD</v>
      </c>
      <c r="M8" s="831"/>
      <c r="N8" s="318"/>
    </row>
    <row r="9" spans="2:21">
      <c r="B9" s="318"/>
      <c r="C9" s="796" t="s">
        <v>215</v>
      </c>
      <c r="D9" s="797"/>
      <c r="E9" s="353"/>
      <c r="F9" s="832">
        <f>Detail!T42</f>
        <v>95</v>
      </c>
      <c r="G9" s="820"/>
      <c r="H9" s="357"/>
      <c r="I9" s="796" t="s">
        <v>185</v>
      </c>
      <c r="J9" s="797"/>
      <c r="K9" s="797"/>
      <c r="L9" s="830" t="str">
        <f>Detail!L42</f>
        <v>TBD</v>
      </c>
      <c r="M9" s="831"/>
      <c r="N9" s="318"/>
    </row>
    <row r="10" spans="2:21" ht="17.25" customHeight="1">
      <c r="B10" s="318"/>
      <c r="C10" s="796" t="s">
        <v>216</v>
      </c>
      <c r="D10" s="797"/>
      <c r="E10" s="352"/>
      <c r="F10" s="819" t="str">
        <f>Detail!V42</f>
        <v>Senior</v>
      </c>
      <c r="G10" s="820"/>
      <c r="H10" s="357"/>
      <c r="I10" s="796" t="s">
        <v>44</v>
      </c>
      <c r="J10" s="797"/>
      <c r="K10" s="797"/>
      <c r="L10" s="800">
        <f>Detail!AB42</f>
        <v>17500000</v>
      </c>
      <c r="M10" s="801"/>
      <c r="N10" s="318"/>
    </row>
    <row r="11" spans="2:21" ht="17.25" customHeight="1">
      <c r="B11" s="318"/>
      <c r="C11" s="361"/>
      <c r="D11" s="362"/>
      <c r="E11" s="352"/>
      <c r="F11" s="819" t="str">
        <f>Detail!W42</f>
        <v>Senior - Independent</v>
      </c>
      <c r="G11" s="820"/>
      <c r="H11" s="357"/>
      <c r="I11" s="796" t="s">
        <v>602</v>
      </c>
      <c r="J11" s="797"/>
      <c r="K11" s="530"/>
      <c r="L11" s="828" t="str">
        <f>Detail!AG42</f>
        <v>TBD</v>
      </c>
      <c r="M11" s="829"/>
      <c r="N11" s="318"/>
    </row>
    <row r="12" spans="2:21">
      <c r="B12" s="318"/>
      <c r="C12" s="361"/>
      <c r="D12" s="362"/>
      <c r="E12" s="352"/>
      <c r="F12" s="819" t="str">
        <f>Detail!X42</f>
        <v>N/A</v>
      </c>
      <c r="G12" s="820"/>
      <c r="H12" s="357"/>
      <c r="I12" s="796" t="s">
        <v>603</v>
      </c>
      <c r="J12" s="797"/>
      <c r="K12" s="797"/>
      <c r="L12" s="828" t="str">
        <f>Detail!N42</f>
        <v>TBD</v>
      </c>
      <c r="M12" s="829"/>
      <c r="N12" s="318"/>
    </row>
    <row r="13" spans="2:21" ht="17.25" customHeight="1">
      <c r="B13" s="318"/>
      <c r="C13" s="796" t="s">
        <v>525</v>
      </c>
      <c r="D13" s="797"/>
      <c r="E13" s="354"/>
      <c r="F13" s="827" t="str">
        <f>Detail!AM42</f>
        <v>MHMG</v>
      </c>
      <c r="G13" s="820"/>
      <c r="H13" s="357"/>
      <c r="I13" s="796" t="s">
        <v>256</v>
      </c>
      <c r="J13" s="797"/>
      <c r="K13" s="797"/>
      <c r="L13" s="800">
        <f>Detail!AC42</f>
        <v>13125000</v>
      </c>
      <c r="M13" s="801"/>
      <c r="N13" s="318"/>
    </row>
    <row r="14" spans="2:21" ht="35.25" customHeight="1">
      <c r="B14" s="318"/>
      <c r="C14" s="796" t="s">
        <v>172</v>
      </c>
      <c r="D14" s="797"/>
      <c r="E14" s="352"/>
      <c r="F14" s="819" t="str">
        <f>Detail!Z42</f>
        <v>Service Coordination</v>
      </c>
      <c r="G14" s="820"/>
      <c r="H14" s="357"/>
      <c r="I14" s="796" t="s">
        <v>257</v>
      </c>
      <c r="J14" s="797"/>
      <c r="K14" s="797"/>
      <c r="L14" s="800">
        <f>Detail!AF42</f>
        <v>9450000</v>
      </c>
      <c r="M14" s="801"/>
      <c r="N14" s="318"/>
    </row>
    <row r="15" spans="2:21" ht="17.25" customHeight="1" thickBot="1">
      <c r="B15" s="318"/>
      <c r="C15" s="796" t="s">
        <v>217</v>
      </c>
      <c r="D15" s="797"/>
      <c r="E15" s="355"/>
      <c r="F15" s="819" t="str">
        <f>Detail!AA42</f>
        <v>TBD</v>
      </c>
      <c r="G15" s="820"/>
      <c r="H15" s="357"/>
      <c r="I15" s="821" t="s">
        <v>255</v>
      </c>
      <c r="J15" s="822"/>
      <c r="K15" s="822"/>
      <c r="L15" s="823">
        <f>Detail!AD42</f>
        <v>1312500</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Detail!AH42</f>
        <v>1750000</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Detail!AJ42</f>
        <v>1312500</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Detail!AI42</f>
        <v>437500</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6" thickTop="1">
      <c r="B21" s="320"/>
      <c r="C21" s="804" t="s">
        <v>46</v>
      </c>
      <c r="D21" s="805"/>
      <c r="E21" s="349"/>
      <c r="F21" s="806" t="str">
        <f>Detail!F42</f>
        <v>Prospect</v>
      </c>
      <c r="G21" s="807"/>
      <c r="H21" s="359"/>
      <c r="I21" s="804" t="s">
        <v>226</v>
      </c>
      <c r="J21" s="805"/>
      <c r="K21" s="805"/>
      <c r="L21" s="808">
        <f>Detail!Q42</f>
        <v>0</v>
      </c>
      <c r="M21" s="809"/>
      <c r="N21" s="320"/>
    </row>
    <row r="22" spans="2:21" s="88" customFormat="1" ht="17.25" customHeight="1">
      <c r="B22" s="320"/>
      <c r="C22" s="796" t="s">
        <v>223</v>
      </c>
      <c r="D22" s="797"/>
      <c r="E22" s="348"/>
      <c r="F22" s="798">
        <f>Detail!P42</f>
        <v>41334</v>
      </c>
      <c r="G22" s="799"/>
      <c r="H22" s="359"/>
      <c r="I22" s="796" t="s">
        <v>227</v>
      </c>
      <c r="J22" s="797"/>
      <c r="K22" s="797"/>
      <c r="L22" s="800">
        <f>Detail!AO42+Detail!AP42+Detail!AQ42+Detail!AR42</f>
        <v>0</v>
      </c>
      <c r="M22" s="801"/>
      <c r="N22" s="320"/>
    </row>
    <row r="23" spans="2:21" s="88" customFormat="1" ht="17.25" customHeight="1">
      <c r="B23" s="320"/>
      <c r="C23" s="796" t="s">
        <v>224</v>
      </c>
      <c r="D23" s="797"/>
      <c r="E23" s="348"/>
      <c r="F23" s="798">
        <f>Detail!R42</f>
        <v>41334</v>
      </c>
      <c r="G23" s="799"/>
      <c r="H23" s="359"/>
      <c r="I23" s="796" t="s">
        <v>228</v>
      </c>
      <c r="J23" s="797"/>
      <c r="K23" s="797"/>
      <c r="L23" s="800">
        <f>Detail!BG42</f>
        <v>0</v>
      </c>
      <c r="M23" s="801"/>
      <c r="N23" s="320"/>
    </row>
    <row r="24" spans="2:21" s="88" customFormat="1" ht="17.25" customHeight="1" thickBot="1">
      <c r="B24" s="320"/>
      <c r="C24" s="778" t="s">
        <v>225</v>
      </c>
      <c r="D24" s="779"/>
      <c r="E24" s="533"/>
      <c r="F24" s="780">
        <f>Detail!S42</f>
        <v>41791</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Children's Memorial Site</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c r="B38" s="322"/>
      <c r="C38" s="792" t="s">
        <v>514</v>
      </c>
      <c r="D38" s="793"/>
      <c r="E38" s="344"/>
      <c r="F38" s="368" t="str">
        <f>I92</f>
        <v>TBD</v>
      </c>
      <c r="G38" s="368" t="str">
        <f>J92</f>
        <v>TBD</v>
      </c>
      <c r="H38" s="794"/>
      <c r="I38" s="794"/>
      <c r="J38" s="794"/>
      <c r="K38" s="794"/>
      <c r="L38" s="794"/>
      <c r="M38" s="795"/>
      <c r="N38" s="322"/>
    </row>
    <row r="39" spans="2:19" s="300" customFormat="1" ht="12.75" customHeight="1">
      <c r="B39" s="322"/>
      <c r="C39" s="774" t="s">
        <v>516</v>
      </c>
      <c r="D39" s="775"/>
      <c r="E39" s="532"/>
      <c r="F39" s="368" t="str">
        <f>I94</f>
        <v>TBD</v>
      </c>
      <c r="G39" s="369" t="str">
        <f>J94</f>
        <v>TBD</v>
      </c>
      <c r="H39" s="772"/>
      <c r="I39" s="772"/>
      <c r="J39" s="772"/>
      <c r="K39" s="772"/>
      <c r="L39" s="772"/>
      <c r="M39" s="773"/>
      <c r="N39" s="322"/>
    </row>
    <row r="40" spans="2:19" s="300" customFormat="1">
      <c r="B40" s="322"/>
      <c r="C40" s="774" t="s">
        <v>344</v>
      </c>
      <c r="D40" s="775"/>
      <c r="E40" s="532"/>
      <c r="F40" s="368" t="str">
        <f>I96</f>
        <v>TBD</v>
      </c>
      <c r="G40" s="368" t="str">
        <f>J96</f>
        <v>TBD</v>
      </c>
      <c r="H40" s="772"/>
      <c r="I40" s="772"/>
      <c r="J40" s="772"/>
      <c r="K40" s="772"/>
      <c r="L40" s="772"/>
      <c r="M40" s="773"/>
      <c r="N40" s="322"/>
    </row>
    <row r="41" spans="2:19" s="300" customFormat="1" ht="12.75" customHeight="1">
      <c r="B41" s="322"/>
      <c r="C41" s="774" t="s">
        <v>535</v>
      </c>
      <c r="D41" s="775"/>
      <c r="E41" s="532"/>
      <c r="F41" s="368" t="str">
        <f>'Childrens Memorial'!I102</f>
        <v>TBD</v>
      </c>
      <c r="G41" s="368" t="str">
        <f>J102</f>
        <v>TBD</v>
      </c>
      <c r="H41" s="772"/>
      <c r="I41" s="772"/>
      <c r="J41" s="772"/>
      <c r="K41" s="772"/>
      <c r="L41" s="772"/>
      <c r="M41" s="773"/>
      <c r="N41" s="322"/>
      <c r="P41" s="358"/>
      <c r="Q41" s="358"/>
      <c r="R41" s="358"/>
      <c r="S41" s="358"/>
    </row>
    <row r="42" spans="2:19" s="300" customFormat="1">
      <c r="B42" s="322"/>
      <c r="C42" s="774" t="s">
        <v>536</v>
      </c>
      <c r="D42" s="775"/>
      <c r="E42" s="532"/>
      <c r="F42" s="368" t="str">
        <f>I110</f>
        <v>TBD</v>
      </c>
      <c r="G42" s="368" t="str">
        <f>J110</f>
        <v>TBD</v>
      </c>
      <c r="H42" s="772"/>
      <c r="I42" s="772"/>
      <c r="J42" s="772"/>
      <c r="K42" s="772"/>
      <c r="L42" s="772"/>
      <c r="M42" s="773"/>
      <c r="N42" s="322"/>
      <c r="P42" s="358"/>
      <c r="Q42" s="358"/>
      <c r="R42" s="358"/>
      <c r="S42" s="358"/>
    </row>
    <row r="43" spans="2:19" s="300" customFormat="1">
      <c r="B43" s="322"/>
      <c r="C43" s="774" t="s">
        <v>517</v>
      </c>
      <c r="D43" s="775"/>
      <c r="E43" s="532"/>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32"/>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32"/>
      <c r="F45" s="368" t="str">
        <f>I200</f>
        <v>TBD</v>
      </c>
      <c r="G45" s="368" t="str">
        <f>J200</f>
        <v>TBD</v>
      </c>
      <c r="H45" s="772"/>
      <c r="I45" s="772"/>
      <c r="J45" s="772"/>
      <c r="K45" s="772"/>
      <c r="L45" s="772"/>
      <c r="M45" s="773"/>
      <c r="N45" s="322"/>
    </row>
    <row r="46" spans="2:19" s="300" customFormat="1">
      <c r="B46" s="322"/>
      <c r="C46" s="774" t="s">
        <v>538</v>
      </c>
      <c r="D46" s="775"/>
      <c r="E46" s="532"/>
      <c r="F46" s="368" t="str">
        <f>I232</f>
        <v>TBD</v>
      </c>
      <c r="G46" s="368" t="str">
        <f>J232</f>
        <v>TBD</v>
      </c>
      <c r="H46" s="772"/>
      <c r="I46" s="772"/>
      <c r="J46" s="772"/>
      <c r="K46" s="772"/>
      <c r="L46" s="772"/>
      <c r="M46" s="773"/>
      <c r="N46" s="322"/>
    </row>
    <row r="47" spans="2:19" s="300" customFormat="1">
      <c r="B47" s="322"/>
      <c r="C47" s="774" t="s">
        <v>55</v>
      </c>
      <c r="D47" s="775"/>
      <c r="E47" s="532"/>
      <c r="F47" s="368">
        <f>I225</f>
        <v>41364</v>
      </c>
      <c r="G47" s="368" t="str">
        <f>J225</f>
        <v>TBD</v>
      </c>
      <c r="H47" s="772"/>
      <c r="I47" s="772"/>
      <c r="J47" s="772"/>
      <c r="K47" s="772"/>
      <c r="L47" s="772"/>
      <c r="M47" s="773"/>
      <c r="N47" s="322"/>
    </row>
    <row r="48" spans="2:19" s="300" customFormat="1">
      <c r="B48" s="322"/>
      <c r="C48" s="774" t="s">
        <v>346</v>
      </c>
      <c r="D48" s="775"/>
      <c r="E48" s="532"/>
      <c r="F48" s="368">
        <f>I235</f>
        <v>41364</v>
      </c>
      <c r="G48" s="368" t="str">
        <f>J235</f>
        <v>TBD</v>
      </c>
      <c r="H48" s="772"/>
      <c r="I48" s="772"/>
      <c r="J48" s="772"/>
      <c r="K48" s="772"/>
      <c r="L48" s="772"/>
      <c r="M48" s="773"/>
      <c r="N48" s="322"/>
    </row>
    <row r="49" spans="2:14" s="300" customFormat="1">
      <c r="B49" s="322"/>
      <c r="C49" s="774" t="s">
        <v>347</v>
      </c>
      <c r="D49" s="775"/>
      <c r="E49" s="532"/>
      <c r="F49" s="368" t="str">
        <f>I237</f>
        <v>TBD</v>
      </c>
      <c r="G49" s="368" t="str">
        <f>J237</f>
        <v>TBD</v>
      </c>
      <c r="H49" s="772"/>
      <c r="I49" s="772"/>
      <c r="J49" s="772"/>
      <c r="K49" s="772"/>
      <c r="L49" s="772"/>
      <c r="M49" s="773"/>
      <c r="N49" s="322"/>
    </row>
    <row r="50" spans="2:14" s="300" customFormat="1">
      <c r="B50" s="322"/>
      <c r="C50" s="774" t="s">
        <v>348</v>
      </c>
      <c r="D50" s="775"/>
      <c r="E50" s="532"/>
      <c r="F50" s="368" t="str">
        <f>I254</f>
        <v>TBD</v>
      </c>
      <c r="G50" s="368" t="str">
        <f>J254</f>
        <v>TBD</v>
      </c>
      <c r="H50" s="772"/>
      <c r="I50" s="772"/>
      <c r="J50" s="772"/>
      <c r="K50" s="772"/>
      <c r="L50" s="772"/>
      <c r="M50" s="773"/>
      <c r="N50" s="322"/>
    </row>
    <row r="51" spans="2:14" s="300" customFormat="1">
      <c r="B51" s="322"/>
      <c r="C51" s="774" t="s">
        <v>65</v>
      </c>
      <c r="D51" s="775"/>
      <c r="E51" s="532"/>
      <c r="F51" s="368" t="str">
        <f>I255</f>
        <v>TBD</v>
      </c>
      <c r="G51" s="368" t="str">
        <f>J255</f>
        <v>TBD</v>
      </c>
      <c r="H51" s="772"/>
      <c r="I51" s="772"/>
      <c r="J51" s="772"/>
      <c r="K51" s="772"/>
      <c r="L51" s="772"/>
      <c r="M51" s="773"/>
      <c r="N51" s="322"/>
    </row>
    <row r="52" spans="2:14" s="300" customFormat="1">
      <c r="B52" s="322"/>
      <c r="C52" s="774" t="s">
        <v>540</v>
      </c>
      <c r="D52" s="775"/>
      <c r="E52" s="532"/>
      <c r="F52" s="368" t="str">
        <f>I273</f>
        <v>TBD</v>
      </c>
      <c r="G52" s="368" t="str">
        <f>J273</f>
        <v>TBD</v>
      </c>
      <c r="H52" s="772"/>
      <c r="I52" s="772"/>
      <c r="J52" s="772"/>
      <c r="K52" s="772"/>
      <c r="L52" s="772"/>
      <c r="M52" s="773"/>
      <c r="N52" s="322"/>
    </row>
    <row r="53" spans="2:14" s="300" customFormat="1">
      <c r="B53" s="322"/>
      <c r="C53" s="774" t="s">
        <v>542</v>
      </c>
      <c r="D53" s="775"/>
      <c r="E53" s="532"/>
      <c r="F53" s="368" t="str">
        <f>I276</f>
        <v>TBD</v>
      </c>
      <c r="G53" s="368" t="str">
        <f>J276</f>
        <v>TBD</v>
      </c>
      <c r="H53" s="772"/>
      <c r="I53" s="772"/>
      <c r="J53" s="772"/>
      <c r="K53" s="772"/>
      <c r="L53" s="772"/>
      <c r="M53" s="773"/>
      <c r="N53" s="322"/>
    </row>
    <row r="54" spans="2:14" s="300" customFormat="1">
      <c r="B54" s="322"/>
      <c r="C54" s="774">
        <v>8609</v>
      </c>
      <c r="D54" s="775"/>
      <c r="E54" s="532"/>
      <c r="F54" s="368" t="str">
        <f>I289</f>
        <v>TBD</v>
      </c>
      <c r="G54" s="368" t="str">
        <f>J289</f>
        <v>TBD</v>
      </c>
      <c r="H54" s="772"/>
      <c r="I54" s="772"/>
      <c r="J54" s="772"/>
      <c r="K54" s="772"/>
      <c r="L54" s="772"/>
      <c r="M54" s="773"/>
      <c r="N54" s="322"/>
    </row>
    <row r="55" spans="2:14" s="300" customForma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531"/>
      <c r="F56" s="338"/>
      <c r="G56" s="338"/>
      <c r="H56" s="772"/>
      <c r="I56" s="772"/>
      <c r="J56" s="772"/>
      <c r="K56" s="772"/>
      <c r="L56" s="772"/>
      <c r="M56" s="773"/>
      <c r="N56" s="322"/>
    </row>
    <row r="57" spans="2:14" s="300" customFormat="1" ht="14">
      <c r="B57" s="322"/>
      <c r="C57" s="770" t="s">
        <v>522</v>
      </c>
      <c r="D57" s="771"/>
      <c r="E57" s="531"/>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Children's Memorial Site</v>
      </c>
      <c r="J63" s="769"/>
      <c r="K63" s="17"/>
      <c r="L63" s="17"/>
      <c r="M63" s="8"/>
      <c r="N63" s="17"/>
    </row>
    <row r="64" spans="2:14" ht="16" thickBot="1">
      <c r="C64" s="308" t="s">
        <v>351</v>
      </c>
      <c r="D64" s="308"/>
      <c r="E64" s="308"/>
      <c r="F64" s="308"/>
      <c r="H64" s="363"/>
      <c r="I64" s="768" t="str">
        <f>F7</f>
        <v>Chicago</v>
      </c>
      <c r="J64" s="769"/>
      <c r="K64" s="17"/>
      <c r="L64" s="17"/>
      <c r="M64" s="8"/>
      <c r="N64" s="17"/>
    </row>
    <row r="65" spans="2:15" ht="16" thickBot="1">
      <c r="C65" s="308" t="s">
        <v>352</v>
      </c>
      <c r="D65" s="308"/>
      <c r="E65" s="308"/>
      <c r="F65" s="308"/>
      <c r="H65" s="363"/>
      <c r="I65" s="768" t="str">
        <f>C3</f>
        <v>M Angelini</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t="s">
        <v>14</v>
      </c>
      <c r="J70" s="332" t="s">
        <v>14</v>
      </c>
    </row>
    <row r="71" spans="2:15">
      <c r="C71" s="2" t="s">
        <v>356</v>
      </c>
      <c r="D71" s="2"/>
      <c r="E71" s="2"/>
      <c r="F71" s="2"/>
      <c r="G71" s="2"/>
      <c r="H71" s="2"/>
      <c r="I71" s="332" t="s">
        <v>14</v>
      </c>
      <c r="J71" s="332" t="s">
        <v>14</v>
      </c>
    </row>
    <row r="72" spans="2:15">
      <c r="C72" s="2" t="s">
        <v>357</v>
      </c>
      <c r="D72" s="2"/>
      <c r="E72" s="2"/>
      <c r="F72" s="2"/>
      <c r="G72" s="2"/>
      <c r="H72" s="2"/>
      <c r="I72" s="332" t="s">
        <v>14</v>
      </c>
      <c r="J72" s="332" t="s">
        <v>14</v>
      </c>
    </row>
    <row r="73" spans="2:15">
      <c r="C73" s="2" t="s">
        <v>358</v>
      </c>
      <c r="D73" s="2"/>
      <c r="E73" s="2"/>
      <c r="F73" s="2"/>
      <c r="G73" s="2"/>
      <c r="H73" s="2"/>
      <c r="I73" s="332" t="s">
        <v>14</v>
      </c>
      <c r="J73" s="332" t="s">
        <v>14</v>
      </c>
    </row>
    <row r="74" spans="2:15">
      <c r="C74" s="312" t="s">
        <v>359</v>
      </c>
      <c r="D74" s="312"/>
      <c r="E74" s="312"/>
      <c r="F74" s="312"/>
      <c r="G74" s="312"/>
      <c r="H74" s="312"/>
      <c r="I74" s="332" t="s">
        <v>14</v>
      </c>
      <c r="J74" s="332" t="s">
        <v>14</v>
      </c>
    </row>
    <row r="75" spans="2:15">
      <c r="C75" s="2" t="s">
        <v>360</v>
      </c>
      <c r="D75" s="2"/>
      <c r="E75" s="2"/>
      <c r="F75" s="312"/>
      <c r="G75" s="312"/>
      <c r="H75" s="312"/>
      <c r="I75" s="332" t="s">
        <v>14</v>
      </c>
      <c r="J75" s="332" t="s">
        <v>14</v>
      </c>
    </row>
    <row r="76" spans="2:15">
      <c r="C76" s="2" t="s">
        <v>361</v>
      </c>
      <c r="D76" s="2"/>
      <c r="E76" s="2"/>
      <c r="F76" s="312"/>
      <c r="G76" s="312"/>
      <c r="H76" s="312"/>
      <c r="I76" s="332" t="s">
        <v>14</v>
      </c>
      <c r="J76" s="332" t="s">
        <v>14</v>
      </c>
    </row>
    <row r="77" spans="2:15">
      <c r="C77" s="2" t="s">
        <v>362</v>
      </c>
      <c r="D77" s="2"/>
      <c r="E77" s="2"/>
      <c r="F77" s="312"/>
      <c r="G77" s="312"/>
      <c r="H77" s="312"/>
      <c r="I77" s="534"/>
      <c r="J77" s="534"/>
    </row>
    <row r="78" spans="2:15">
      <c r="C78" s="312" t="s">
        <v>363</v>
      </c>
      <c r="D78" s="312"/>
      <c r="E78" s="312"/>
      <c r="F78" s="312"/>
      <c r="G78" s="312"/>
      <c r="H78" s="312"/>
      <c r="I78" s="332" t="s">
        <v>14</v>
      </c>
      <c r="J78" s="332" t="s">
        <v>14</v>
      </c>
    </row>
    <row r="79" spans="2:15">
      <c r="C79" s="312" t="s">
        <v>364</v>
      </c>
      <c r="D79" s="312"/>
      <c r="E79" s="312"/>
      <c r="F79" s="312"/>
      <c r="G79" s="312"/>
      <c r="H79" s="312"/>
      <c r="I79" s="332" t="s">
        <v>14</v>
      </c>
      <c r="J79" s="332" t="s">
        <v>14</v>
      </c>
    </row>
    <row r="80" spans="2:15">
      <c r="C80" s="312" t="s">
        <v>365</v>
      </c>
      <c r="D80" s="312"/>
      <c r="E80" s="312"/>
      <c r="F80" s="312"/>
      <c r="G80" s="312"/>
      <c r="H80" s="312"/>
      <c r="I80" s="332" t="s">
        <v>14</v>
      </c>
      <c r="J80" s="332" t="s">
        <v>14</v>
      </c>
    </row>
    <row r="81" spans="2:10">
      <c r="C81" s="315" t="s">
        <v>366</v>
      </c>
      <c r="D81" s="315"/>
      <c r="E81" s="315"/>
      <c r="F81" s="314"/>
      <c r="G81" s="314"/>
      <c r="H81" s="314"/>
      <c r="I81" s="332" t="s">
        <v>14</v>
      </c>
      <c r="J81" s="332" t="s">
        <v>14</v>
      </c>
    </row>
    <row r="82" spans="2:10">
      <c r="C82" s="2" t="s">
        <v>367</v>
      </c>
      <c r="D82" s="2"/>
      <c r="E82" s="2"/>
      <c r="F82" s="312"/>
      <c r="G82" s="312"/>
      <c r="H82" s="312"/>
      <c r="I82" s="534"/>
      <c r="J82" s="534"/>
    </row>
    <row r="83" spans="2:10">
      <c r="C83" s="312" t="s">
        <v>368</v>
      </c>
      <c r="D83" s="312"/>
      <c r="E83" s="312"/>
      <c r="F83" s="312"/>
      <c r="G83" s="312"/>
      <c r="H83" s="312"/>
      <c r="I83" s="332" t="s">
        <v>14</v>
      </c>
      <c r="J83" s="332" t="s">
        <v>14</v>
      </c>
    </row>
    <row r="84" spans="2:10">
      <c r="C84" s="312" t="s">
        <v>369</v>
      </c>
      <c r="D84" s="312"/>
      <c r="E84" s="312"/>
      <c r="F84" s="312"/>
      <c r="G84" s="312"/>
      <c r="H84" s="312"/>
      <c r="I84" s="332" t="s">
        <v>14</v>
      </c>
      <c r="J84" s="332" t="s">
        <v>14</v>
      </c>
    </row>
    <row r="85" spans="2:10">
      <c r="C85" s="312" t="s">
        <v>370</v>
      </c>
      <c r="D85" s="312"/>
      <c r="E85" s="312"/>
      <c r="F85" s="312"/>
      <c r="G85" s="312"/>
      <c r="H85" s="312"/>
      <c r="I85" s="332" t="s">
        <v>14</v>
      </c>
      <c r="J85" s="332" t="s">
        <v>14</v>
      </c>
    </row>
    <row r="86" spans="2:10">
      <c r="C86" s="2" t="s">
        <v>371</v>
      </c>
      <c r="D86" s="2"/>
      <c r="E86" s="2"/>
      <c r="F86" s="312"/>
      <c r="G86" s="312"/>
      <c r="H86" s="312"/>
      <c r="I86" s="332" t="s">
        <v>14</v>
      </c>
      <c r="J86" s="332" t="s">
        <v>14</v>
      </c>
    </row>
    <row r="87" spans="2:10">
      <c r="C87" s="2" t="s">
        <v>372</v>
      </c>
      <c r="D87" s="2"/>
      <c r="E87" s="2"/>
      <c r="F87" s="312"/>
      <c r="G87" s="312"/>
      <c r="H87" s="312"/>
      <c r="I87" s="332" t="s">
        <v>14</v>
      </c>
      <c r="J87" s="332" t="s">
        <v>14</v>
      </c>
    </row>
    <row r="88" spans="2:10">
      <c r="C88" s="2" t="s">
        <v>373</v>
      </c>
      <c r="D88" s="2"/>
      <c r="E88" s="2"/>
      <c r="F88" s="312"/>
      <c r="G88" s="312"/>
      <c r="H88" s="312"/>
      <c r="I88" s="332" t="s">
        <v>14</v>
      </c>
      <c r="J88" s="332" t="s">
        <v>14</v>
      </c>
    </row>
    <row r="89" spans="2:10">
      <c r="C89" s="2" t="s">
        <v>374</v>
      </c>
      <c r="D89" s="2"/>
      <c r="E89" s="2"/>
      <c r="F89" s="312"/>
      <c r="G89" s="312"/>
      <c r="H89" s="312"/>
      <c r="I89" s="332" t="s">
        <v>14</v>
      </c>
      <c r="J89" s="332" t="s">
        <v>14</v>
      </c>
    </row>
    <row r="90" spans="2:10">
      <c r="C90" s="2" t="s">
        <v>375</v>
      </c>
      <c r="D90" s="2"/>
      <c r="E90" s="2"/>
      <c r="F90" s="312"/>
      <c r="G90" s="312"/>
      <c r="H90" s="312"/>
      <c r="I90" s="332" t="s">
        <v>14</v>
      </c>
      <c r="J90" s="332" t="s">
        <v>14</v>
      </c>
    </row>
    <row r="91" spans="2:10">
      <c r="C91" s="2" t="s">
        <v>376</v>
      </c>
      <c r="D91" s="2"/>
      <c r="E91" s="2"/>
      <c r="F91" s="312"/>
      <c r="G91" s="312"/>
      <c r="H91" s="312"/>
      <c r="I91" s="332" t="s">
        <v>14</v>
      </c>
      <c r="J91" s="332" t="s">
        <v>14</v>
      </c>
    </row>
    <row r="92" spans="2:10">
      <c r="C92" s="308" t="s">
        <v>377</v>
      </c>
      <c r="D92" s="308"/>
      <c r="E92" s="308"/>
      <c r="F92" s="312"/>
      <c r="G92" s="312"/>
      <c r="H92" s="312"/>
      <c r="I92" s="364" t="s">
        <v>14</v>
      </c>
      <c r="J92" s="364" t="s">
        <v>14</v>
      </c>
    </row>
    <row r="93" spans="2:10">
      <c r="C93" s="2"/>
      <c r="D93" s="2"/>
      <c r="E93" s="2"/>
      <c r="F93" s="312"/>
      <c r="G93" s="312"/>
      <c r="H93" s="312"/>
      <c r="I93" s="331"/>
      <c r="J93" s="331"/>
    </row>
    <row r="94" spans="2:10">
      <c r="B94" s="309" t="s">
        <v>378</v>
      </c>
      <c r="C94" s="308"/>
      <c r="D94" s="308"/>
      <c r="E94" s="308"/>
      <c r="F94" s="313"/>
      <c r="G94" s="313"/>
      <c r="H94" s="313"/>
      <c r="I94" s="364" t="s">
        <v>14</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14</v>
      </c>
      <c r="J99" s="332" t="s">
        <v>14</v>
      </c>
    </row>
    <row r="100" spans="2:10">
      <c r="C100" s="2" t="s">
        <v>381</v>
      </c>
      <c r="D100" s="2"/>
      <c r="E100" s="2"/>
      <c r="F100" s="312"/>
      <c r="G100" s="312"/>
      <c r="H100" s="312"/>
      <c r="I100" s="332" t="s">
        <v>14</v>
      </c>
      <c r="J100" s="332" t="s">
        <v>14</v>
      </c>
    </row>
    <row r="101" spans="2:10">
      <c r="C101" s="2" t="s">
        <v>382</v>
      </c>
      <c r="D101" s="2"/>
      <c r="E101" s="2"/>
      <c r="F101" s="312"/>
      <c r="G101" s="312"/>
      <c r="H101" s="312"/>
      <c r="I101" s="332" t="s">
        <v>14</v>
      </c>
      <c r="J101" s="332" t="s">
        <v>14</v>
      </c>
    </row>
    <row r="102" spans="2:10">
      <c r="C102" s="308" t="s">
        <v>534</v>
      </c>
      <c r="D102" s="2"/>
      <c r="E102" s="2"/>
      <c r="F102" s="312"/>
      <c r="G102" s="312"/>
      <c r="H102" s="312"/>
      <c r="I102" s="364" t="s">
        <v>14</v>
      </c>
      <c r="J102" s="364" t="s">
        <v>14</v>
      </c>
    </row>
    <row r="103" spans="2:10">
      <c r="C103" s="2" t="s">
        <v>524</v>
      </c>
      <c r="D103" s="2"/>
      <c r="E103" s="2"/>
      <c r="F103" s="312"/>
      <c r="G103" s="312"/>
      <c r="H103" s="312"/>
      <c r="I103" s="332" t="s">
        <v>14</v>
      </c>
      <c r="J103" s="332" t="s">
        <v>14</v>
      </c>
    </row>
    <row r="104" spans="2:10">
      <c r="C104" s="2" t="s">
        <v>383</v>
      </c>
      <c r="D104" s="2"/>
      <c r="E104" s="2"/>
      <c r="F104" s="312"/>
      <c r="G104" s="312"/>
      <c r="H104" s="312"/>
      <c r="I104" s="332" t="s">
        <v>14</v>
      </c>
      <c r="J104" s="332" t="s">
        <v>14</v>
      </c>
    </row>
    <row r="105" spans="2:10">
      <c r="C105" s="2" t="s">
        <v>384</v>
      </c>
      <c r="D105" s="2"/>
      <c r="E105" s="2"/>
      <c r="F105" s="312"/>
      <c r="G105" s="312"/>
      <c r="H105" s="312"/>
      <c r="I105" s="332" t="s">
        <v>14</v>
      </c>
      <c r="J105" s="332" t="s">
        <v>14</v>
      </c>
    </row>
    <row r="106" spans="2:10">
      <c r="C106" s="2" t="s">
        <v>544</v>
      </c>
      <c r="D106" s="2"/>
      <c r="E106" s="2"/>
      <c r="F106" s="312"/>
      <c r="G106" s="312"/>
      <c r="H106" s="312"/>
      <c r="I106" s="332" t="s">
        <v>14</v>
      </c>
      <c r="J106" s="332" t="s">
        <v>14</v>
      </c>
    </row>
    <row r="107" spans="2:10">
      <c r="C107" s="2" t="s">
        <v>385</v>
      </c>
      <c r="D107" s="2"/>
      <c r="E107" s="2"/>
      <c r="F107" s="312"/>
      <c r="G107" s="312"/>
      <c r="H107" s="312"/>
      <c r="I107" s="332" t="s">
        <v>14</v>
      </c>
      <c r="J107" s="332" t="s">
        <v>14</v>
      </c>
    </row>
    <row r="108" spans="2:10">
      <c r="C108" s="2" t="s">
        <v>386</v>
      </c>
      <c r="D108" s="2"/>
      <c r="E108" s="2"/>
      <c r="F108" s="312"/>
      <c r="G108" s="312"/>
      <c r="H108" s="312"/>
      <c r="I108" s="332" t="s">
        <v>14</v>
      </c>
      <c r="J108" s="332" t="s">
        <v>14</v>
      </c>
    </row>
    <row r="109" spans="2:10">
      <c r="C109" s="2" t="s">
        <v>523</v>
      </c>
      <c r="D109" s="2"/>
      <c r="E109" s="2"/>
      <c r="F109" s="312"/>
      <c r="G109" s="312"/>
      <c r="H109" s="312"/>
      <c r="I109" s="332" t="s">
        <v>14</v>
      </c>
      <c r="J109" s="332" t="s">
        <v>14</v>
      </c>
    </row>
    <row r="110" spans="2:10">
      <c r="C110" s="308" t="s">
        <v>526</v>
      </c>
      <c r="D110" s="2"/>
      <c r="E110" s="2"/>
      <c r="F110" s="312"/>
      <c r="G110" s="312"/>
      <c r="H110" s="312"/>
      <c r="I110" s="364" t="s">
        <v>14</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t="s">
        <v>14</v>
      </c>
      <c r="J115" s="332" t="s">
        <v>14</v>
      </c>
    </row>
    <row r="116" spans="3:10">
      <c r="C116" s="315" t="s">
        <v>342</v>
      </c>
      <c r="D116" s="315"/>
      <c r="E116" s="315"/>
      <c r="F116" s="315"/>
      <c r="G116" s="315"/>
      <c r="H116" s="315"/>
      <c r="I116" s="332" t="s">
        <v>14</v>
      </c>
      <c r="J116" s="332" t="s">
        <v>14</v>
      </c>
    </row>
    <row r="117" spans="3:10">
      <c r="C117" s="315" t="s">
        <v>390</v>
      </c>
      <c r="D117" s="315"/>
      <c r="E117" s="315"/>
      <c r="F117" s="315"/>
      <c r="G117" s="315"/>
      <c r="H117" s="315"/>
      <c r="I117" s="332" t="s">
        <v>14</v>
      </c>
      <c r="J117" s="332" t="s">
        <v>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t="s">
        <v>14</v>
      </c>
      <c r="J120" s="332" t="s">
        <v>14</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534"/>
      <c r="J123" s="534"/>
    </row>
    <row r="124" spans="3:10">
      <c r="C124" s="315" t="s">
        <v>392</v>
      </c>
      <c r="D124" s="315"/>
      <c r="E124" s="315"/>
      <c r="F124" s="315"/>
      <c r="G124" s="315"/>
      <c r="H124" s="315"/>
      <c r="I124" s="332" t="s">
        <v>14</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534"/>
      <c r="J128" s="534"/>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t="s">
        <v>14</v>
      </c>
      <c r="J134" s="332" t="s">
        <v>14</v>
      </c>
    </row>
    <row r="135" spans="2:10">
      <c r="C135" s="2" t="s">
        <v>398</v>
      </c>
      <c r="D135" s="2"/>
      <c r="E135" s="2"/>
      <c r="F135" s="312"/>
      <c r="G135" s="312"/>
      <c r="H135" s="312"/>
      <c r="I135" s="332" t="s">
        <v>14</v>
      </c>
      <c r="J135" s="332" t="s">
        <v>14</v>
      </c>
    </row>
    <row r="136" spans="2:10">
      <c r="C136" s="2" t="s">
        <v>399</v>
      </c>
      <c r="D136" s="2"/>
      <c r="E136" s="2"/>
      <c r="F136" s="312"/>
      <c r="G136" s="312"/>
      <c r="H136" s="312"/>
      <c r="I136" s="332" t="s">
        <v>14</v>
      </c>
      <c r="J136" s="332" t="s">
        <v>14</v>
      </c>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332" t="s">
        <v>14</v>
      </c>
      <c r="J139" s="332" t="s">
        <v>14</v>
      </c>
    </row>
    <row r="140" spans="2:10">
      <c r="C140" s="2" t="s">
        <v>402</v>
      </c>
      <c r="D140" s="2"/>
      <c r="E140" s="2"/>
      <c r="F140" s="312"/>
      <c r="G140" s="312"/>
      <c r="H140" s="312"/>
      <c r="I140" s="332" t="s">
        <v>14</v>
      </c>
      <c r="J140" s="332" t="s">
        <v>14</v>
      </c>
    </row>
    <row r="141" spans="2:10">
      <c r="C141" s="312" t="s">
        <v>403</v>
      </c>
      <c r="D141" s="312"/>
      <c r="E141" s="312"/>
      <c r="F141" s="312"/>
      <c r="G141" s="312"/>
      <c r="H141" s="312"/>
      <c r="I141" s="332" t="s">
        <v>14</v>
      </c>
      <c r="J141" s="332" t="s">
        <v>14</v>
      </c>
    </row>
    <row r="142" spans="2:10">
      <c r="C142" s="312" t="s">
        <v>404</v>
      </c>
      <c r="D142" s="312"/>
      <c r="E142" s="312"/>
      <c r="F142" s="312"/>
      <c r="G142" s="312"/>
      <c r="H142" s="312"/>
      <c r="I142" s="332" t="s">
        <v>14</v>
      </c>
      <c r="J142" s="332" t="s">
        <v>14</v>
      </c>
    </row>
    <row r="143" spans="2:10">
      <c r="C143" s="312" t="s">
        <v>405</v>
      </c>
      <c r="D143" s="312"/>
      <c r="E143" s="312"/>
      <c r="F143" s="312"/>
      <c r="G143" s="312"/>
      <c r="H143" s="312"/>
      <c r="I143" s="332" t="s">
        <v>14</v>
      </c>
      <c r="J143" s="332" t="s">
        <v>14</v>
      </c>
    </row>
    <row r="144" spans="2:10">
      <c r="C144" s="2" t="s">
        <v>406</v>
      </c>
      <c r="D144" s="2"/>
      <c r="E144" s="2"/>
      <c r="F144" s="312"/>
      <c r="G144" s="312"/>
      <c r="H144" s="312"/>
      <c r="I144" s="332" t="s">
        <v>14</v>
      </c>
      <c r="J144" s="332" t="s">
        <v>14</v>
      </c>
    </row>
    <row r="145" spans="3:10">
      <c r="C145" s="2" t="s">
        <v>407</v>
      </c>
      <c r="D145" s="2"/>
      <c r="E145" s="2"/>
      <c r="F145" s="312"/>
      <c r="G145" s="312"/>
      <c r="H145" s="312"/>
      <c r="I145" s="332" t="s">
        <v>14</v>
      </c>
      <c r="J145" s="332" t="s">
        <v>14</v>
      </c>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2" t="s">
        <v>14</v>
      </c>
      <c r="J148" s="332" t="s">
        <v>14</v>
      </c>
    </row>
    <row r="149" spans="3:10">
      <c r="C149" s="312" t="s">
        <v>411</v>
      </c>
      <c r="D149" s="312"/>
      <c r="E149" s="312"/>
      <c r="F149" s="312"/>
      <c r="G149" s="312"/>
      <c r="H149" s="312"/>
      <c r="I149" s="332" t="s">
        <v>14</v>
      </c>
      <c r="J149" s="332" t="s">
        <v>14</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2" t="s">
        <v>14</v>
      </c>
      <c r="J154" s="332" t="s">
        <v>14</v>
      </c>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2" t="s">
        <v>14</v>
      </c>
      <c r="J156" s="332" t="s">
        <v>14</v>
      </c>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2" t="s">
        <v>14</v>
      </c>
      <c r="J162" s="332" t="s">
        <v>14</v>
      </c>
    </row>
    <row r="163" spans="3:10">
      <c r="C163" s="312" t="s">
        <v>425</v>
      </c>
      <c r="D163" s="312"/>
      <c r="E163" s="312"/>
      <c r="F163" s="312"/>
      <c r="G163" s="312"/>
      <c r="H163" s="312"/>
      <c r="I163" s="332" t="s">
        <v>14</v>
      </c>
      <c r="J163" s="332" t="s">
        <v>14</v>
      </c>
    </row>
    <row r="164" spans="3:10">
      <c r="C164" s="312" t="s">
        <v>426</v>
      </c>
      <c r="D164" s="312"/>
      <c r="E164" s="312"/>
      <c r="F164" s="312"/>
      <c r="G164" s="312"/>
      <c r="H164" s="312"/>
      <c r="I164" s="332" t="s">
        <v>14</v>
      </c>
      <c r="J164" s="332" t="s">
        <v>14</v>
      </c>
    </row>
    <row r="165" spans="3:10">
      <c r="C165" s="315" t="s">
        <v>427</v>
      </c>
      <c r="D165" s="315"/>
      <c r="E165" s="315"/>
      <c r="F165" s="315"/>
      <c r="G165" s="315"/>
      <c r="H165" s="315"/>
      <c r="I165" s="332" t="s">
        <v>14</v>
      </c>
      <c r="J165" s="332" t="s">
        <v>14</v>
      </c>
    </row>
    <row r="166" spans="3:10">
      <c r="C166" s="315" t="s">
        <v>428</v>
      </c>
      <c r="D166" s="315"/>
      <c r="E166" s="315"/>
      <c r="F166" s="315"/>
      <c r="G166" s="315"/>
      <c r="H166" s="315"/>
      <c r="I166" s="332" t="s">
        <v>14</v>
      </c>
      <c r="J166" s="332" t="s">
        <v>14</v>
      </c>
    </row>
    <row r="167" spans="3:10">
      <c r="C167" s="312" t="s">
        <v>429</v>
      </c>
      <c r="D167" s="312"/>
      <c r="E167" s="312"/>
      <c r="F167" s="312"/>
      <c r="G167" s="312"/>
      <c r="H167" s="312"/>
      <c r="I167" s="332" t="s">
        <v>14</v>
      </c>
      <c r="J167" s="332" t="s">
        <v>14</v>
      </c>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2" t="s">
        <v>14</v>
      </c>
      <c r="J170" s="332" t="s">
        <v>14</v>
      </c>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2" t="s">
        <v>14</v>
      </c>
      <c r="J173" s="332" t="s">
        <v>14</v>
      </c>
    </row>
    <row r="174" spans="3:10">
      <c r="C174" s="315" t="s">
        <v>432</v>
      </c>
      <c r="D174" s="315"/>
      <c r="E174" s="315"/>
      <c r="F174" s="315"/>
      <c r="G174" s="315"/>
      <c r="H174" s="315"/>
      <c r="I174" s="332" t="s">
        <v>14</v>
      </c>
      <c r="J174" s="332" t="s">
        <v>14</v>
      </c>
    </row>
    <row r="175" spans="3:10">
      <c r="C175" s="315" t="s">
        <v>433</v>
      </c>
      <c r="D175" s="315"/>
      <c r="E175" s="315"/>
      <c r="F175" s="315"/>
      <c r="G175" s="315"/>
      <c r="H175" s="315"/>
      <c r="I175" s="332" t="s">
        <v>14</v>
      </c>
      <c r="J175" s="332" t="s">
        <v>14</v>
      </c>
    </row>
    <row r="176" spans="3:10">
      <c r="C176" s="315" t="s">
        <v>434</v>
      </c>
      <c r="D176" s="315"/>
      <c r="E176" s="315"/>
      <c r="F176" s="315"/>
      <c r="G176" s="315"/>
      <c r="H176" s="315"/>
      <c r="I176" s="332" t="s">
        <v>14</v>
      </c>
      <c r="J176" s="332" t="s">
        <v>14</v>
      </c>
    </row>
    <row r="177" spans="3:10">
      <c r="C177" s="315" t="s">
        <v>435</v>
      </c>
      <c r="D177" s="315"/>
      <c r="E177" s="315"/>
      <c r="F177" s="315"/>
      <c r="G177" s="315"/>
      <c r="H177" s="315"/>
      <c r="I177" s="332" t="s">
        <v>14</v>
      </c>
      <c r="J177" s="332" t="s">
        <v>14</v>
      </c>
    </row>
    <row r="178" spans="3:10">
      <c r="C178" s="310" t="s">
        <v>422</v>
      </c>
      <c r="D178" s="310"/>
      <c r="E178" s="310"/>
      <c r="F178" s="312"/>
      <c r="G178" s="312"/>
      <c r="H178" s="312"/>
      <c r="I178" s="332" t="s">
        <v>14</v>
      </c>
      <c r="J178" s="332" t="s">
        <v>14</v>
      </c>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2" t="s">
        <v>14</v>
      </c>
      <c r="J187" s="332" t="s">
        <v>14</v>
      </c>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2" t="s">
        <v>14</v>
      </c>
      <c r="J193" s="332" t="s">
        <v>14</v>
      </c>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2" t="s">
        <v>14</v>
      </c>
      <c r="J210" s="332" t="s">
        <v>14</v>
      </c>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v>41364</v>
      </c>
      <c r="J225" s="364" t="s">
        <v>14</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332" t="s">
        <v>14</v>
      </c>
    </row>
    <row r="231" spans="2:10">
      <c r="C231" s="312" t="s">
        <v>477</v>
      </c>
      <c r="D231" s="312"/>
      <c r="E231" s="312"/>
      <c r="F231" s="312"/>
      <c r="G231" s="312"/>
      <c r="H231" s="312"/>
      <c r="I231" s="332" t="s">
        <v>14</v>
      </c>
      <c r="J231" s="332" t="s">
        <v>14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v>41364</v>
      </c>
      <c r="J235" s="364" t="s">
        <v>14</v>
      </c>
    </row>
    <row r="236" spans="2:10">
      <c r="C236" s="308" t="s">
        <v>480</v>
      </c>
      <c r="D236" s="2"/>
      <c r="E236" s="2"/>
      <c r="F236" s="312"/>
      <c r="G236" s="312"/>
      <c r="H236" s="312"/>
      <c r="I236" s="332" t="s">
        <v>14</v>
      </c>
      <c r="J236" s="332" t="s">
        <v>14</v>
      </c>
    </row>
    <row r="237" spans="2:10">
      <c r="C237" s="2" t="s">
        <v>481</v>
      </c>
      <c r="D237" s="2"/>
      <c r="E237" s="2"/>
      <c r="F237" s="312"/>
      <c r="G237" s="312"/>
      <c r="H237" s="312"/>
      <c r="I237" s="364" t="s">
        <v>14</v>
      </c>
      <c r="J237" s="364" t="s">
        <v>14</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14</v>
      </c>
      <c r="J253" s="332" t="s">
        <v>14</v>
      </c>
    </row>
    <row r="254" spans="2:10">
      <c r="C254" s="308" t="s">
        <v>539</v>
      </c>
      <c r="D254" s="2"/>
      <c r="E254" s="2"/>
      <c r="F254" s="312"/>
      <c r="G254" s="312"/>
      <c r="H254" s="312"/>
      <c r="I254" s="364" t="s">
        <v>14</v>
      </c>
      <c r="J254" s="364" t="s">
        <v>14</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14</v>
      </c>
      <c r="J267" s="332" t="s">
        <v>14</v>
      </c>
    </row>
    <row r="268" spans="2:10">
      <c r="C268" s="312" t="s">
        <v>495</v>
      </c>
      <c r="D268" s="312"/>
      <c r="E268" s="312"/>
      <c r="F268" s="312"/>
      <c r="G268" s="312"/>
      <c r="H268" s="312"/>
      <c r="I268" s="332" t="s">
        <v>14</v>
      </c>
      <c r="J268" s="332" t="s">
        <v>14</v>
      </c>
    </row>
    <row r="269" spans="2:10">
      <c r="C269" s="312" t="s">
        <v>496</v>
      </c>
      <c r="D269" s="312"/>
      <c r="E269" s="312"/>
      <c r="F269" s="312"/>
      <c r="G269" s="312"/>
      <c r="H269" s="312"/>
      <c r="I269" s="332" t="s">
        <v>14</v>
      </c>
      <c r="J269" s="332" t="s">
        <v>14</v>
      </c>
    </row>
    <row r="270" spans="2:10">
      <c r="C270" s="312" t="s">
        <v>497</v>
      </c>
      <c r="D270" s="312"/>
      <c r="E270" s="312"/>
      <c r="F270" s="312"/>
      <c r="G270" s="312"/>
      <c r="H270" s="312"/>
      <c r="I270" s="332" t="s">
        <v>14</v>
      </c>
      <c r="J270" s="332" t="s">
        <v>14</v>
      </c>
    </row>
    <row r="271" spans="2:10">
      <c r="C271" s="312" t="s">
        <v>498</v>
      </c>
      <c r="D271" s="312"/>
      <c r="E271" s="312"/>
      <c r="F271" s="312"/>
      <c r="G271" s="312"/>
      <c r="H271" s="312"/>
      <c r="I271" s="332" t="s">
        <v>14</v>
      </c>
      <c r="J271" s="332" t="s">
        <v>14</v>
      </c>
    </row>
    <row r="272" spans="2:10">
      <c r="C272" s="312" t="s">
        <v>499</v>
      </c>
      <c r="D272" s="312"/>
      <c r="E272" s="312"/>
      <c r="F272" s="312"/>
      <c r="G272" s="312"/>
      <c r="H272" s="312"/>
      <c r="I272" s="332" t="s">
        <v>14</v>
      </c>
      <c r="J272" s="332" t="s">
        <v>14</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I291" s="2"/>
      <c r="J291" s="7"/>
      <c r="K291" s="2"/>
      <c r="L291" s="2"/>
      <c r="M291" s="301"/>
      <c r="N291" s="2"/>
      <c r="O291" s="301"/>
    </row>
  </sheetData>
  <sheetProtection selectLockedCells="1"/>
  <mergeCells count="109">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39:D39"/>
    <mergeCell ref="H39:M39"/>
    <mergeCell ref="C40:D40"/>
    <mergeCell ref="H40:M40"/>
    <mergeCell ref="C41:D41"/>
    <mergeCell ref="H41:M41"/>
    <mergeCell ref="C24:D24"/>
    <mergeCell ref="F24:G24"/>
    <mergeCell ref="K24:M24"/>
    <mergeCell ref="C27:M34"/>
    <mergeCell ref="H37:M37"/>
    <mergeCell ref="C38:D38"/>
    <mergeCell ref="H38:M38"/>
    <mergeCell ref="C45:D45"/>
    <mergeCell ref="H45:M45"/>
    <mergeCell ref="C46:D46"/>
    <mergeCell ref="H46:M46"/>
    <mergeCell ref="C47:D47"/>
    <mergeCell ref="H47:M47"/>
    <mergeCell ref="C42:D42"/>
    <mergeCell ref="H42:M42"/>
    <mergeCell ref="C43:D43"/>
    <mergeCell ref="H43:M43"/>
    <mergeCell ref="C44:D44"/>
    <mergeCell ref="H44:M44"/>
    <mergeCell ref="C51:D51"/>
    <mergeCell ref="H51:M51"/>
    <mergeCell ref="C52:D52"/>
    <mergeCell ref="H52:M52"/>
    <mergeCell ref="C53:D53"/>
    <mergeCell ref="H53:M53"/>
    <mergeCell ref="C48:D48"/>
    <mergeCell ref="H48:M48"/>
    <mergeCell ref="C49:D49"/>
    <mergeCell ref="H49:M49"/>
    <mergeCell ref="C50:D50"/>
    <mergeCell ref="H50:M50"/>
    <mergeCell ref="I65:J65"/>
    <mergeCell ref="C57:D57"/>
    <mergeCell ref="H57:M57"/>
    <mergeCell ref="C58:D58"/>
    <mergeCell ref="H58:M58"/>
    <mergeCell ref="I63:J63"/>
    <mergeCell ref="I64:J64"/>
    <mergeCell ref="C54:D54"/>
    <mergeCell ref="H54:M54"/>
    <mergeCell ref="C55:D55"/>
    <mergeCell ref="H55:M55"/>
    <mergeCell ref="C56:D56"/>
    <mergeCell ref="H56:M56"/>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0">
    <tabColor rgb="FF00B0F0"/>
  </sheetPr>
  <dimension ref="B1:U291"/>
  <sheetViews>
    <sheetView workbookViewId="0">
      <selection activeCell="O14" sqref="O14"/>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10"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Detail!A43</f>
        <v>Englewood Apartments</v>
      </c>
      <c r="D2" s="341"/>
      <c r="E2" s="341"/>
      <c r="F2" s="120"/>
      <c r="G2" s="120"/>
      <c r="H2" s="120"/>
      <c r="I2" s="120"/>
      <c r="J2" s="120"/>
      <c r="K2" s="120"/>
      <c r="L2" s="120"/>
      <c r="M2" s="121"/>
      <c r="N2" s="319"/>
    </row>
    <row r="3" spans="2:21" s="122" customFormat="1" ht="20.25" customHeight="1" thickBot="1">
      <c r="B3" s="319"/>
      <c r="C3" s="136" t="str">
        <f>Detail!B43</f>
        <v>M Angelini</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Detail!V43</f>
        <v>Special Needs (PSH)</v>
      </c>
      <c r="G6" s="836"/>
      <c r="H6" s="357"/>
      <c r="I6" s="833" t="s">
        <v>219</v>
      </c>
      <c r="J6" s="834"/>
      <c r="K6" s="834"/>
      <c r="L6" s="837" t="str">
        <f>Detail!I43</f>
        <v>LIHTC - 9%</v>
      </c>
      <c r="M6" s="838"/>
      <c r="N6" s="318"/>
    </row>
    <row r="7" spans="2:21" ht="17.25" customHeight="1">
      <c r="B7" s="318"/>
      <c r="C7" s="796" t="s">
        <v>214</v>
      </c>
      <c r="D7" s="797"/>
      <c r="E7" s="352"/>
      <c r="F7" s="819" t="str">
        <f>Detail!C43</f>
        <v>Chicago</v>
      </c>
      <c r="G7" s="820"/>
      <c r="H7" s="357"/>
      <c r="I7" s="796" t="s">
        <v>183</v>
      </c>
      <c r="J7" s="797"/>
      <c r="K7" s="797"/>
      <c r="L7" s="830" t="str">
        <f>Detail!J43</f>
        <v>Local: City/County Funding</v>
      </c>
      <c r="M7" s="831"/>
      <c r="N7" s="318"/>
    </row>
    <row r="8" spans="2:21">
      <c r="B8" s="318"/>
      <c r="C8" s="796" t="s">
        <v>9</v>
      </c>
      <c r="D8" s="797"/>
      <c r="E8" s="352"/>
      <c r="F8" s="819" t="str">
        <f>Detail!D43</f>
        <v>New Construction</v>
      </c>
      <c r="G8" s="820"/>
      <c r="H8" s="357"/>
      <c r="I8" s="796" t="s">
        <v>184</v>
      </c>
      <c r="J8" s="797"/>
      <c r="K8" s="797"/>
      <c r="L8" s="830" t="str">
        <f>Detail!K43</f>
        <v>HOME</v>
      </c>
      <c r="M8" s="831"/>
      <c r="N8" s="318"/>
    </row>
    <row r="9" spans="2:21">
      <c r="B9" s="318"/>
      <c r="C9" s="796" t="s">
        <v>215</v>
      </c>
      <c r="D9" s="797"/>
      <c r="E9" s="353"/>
      <c r="F9" s="832">
        <f>Detail!T43</f>
        <v>99</v>
      </c>
      <c r="G9" s="820"/>
      <c r="H9" s="357"/>
      <c r="I9" s="796" t="s">
        <v>185</v>
      </c>
      <c r="J9" s="797"/>
      <c r="K9" s="797"/>
      <c r="L9" s="830" t="str">
        <f>Detail!L43</f>
        <v>N/A</v>
      </c>
      <c r="M9" s="831"/>
      <c r="N9" s="318"/>
    </row>
    <row r="10" spans="2:21" ht="17.25" customHeight="1">
      <c r="B10" s="318"/>
      <c r="C10" s="796" t="s">
        <v>216</v>
      </c>
      <c r="D10" s="797"/>
      <c r="E10" s="352"/>
      <c r="F10" s="819" t="str">
        <f>Detail!V43</f>
        <v>Special Needs (PSH)</v>
      </c>
      <c r="G10" s="820"/>
      <c r="H10" s="357"/>
      <c r="I10" s="796" t="s">
        <v>44</v>
      </c>
      <c r="J10" s="797"/>
      <c r="K10" s="797"/>
      <c r="L10" s="800">
        <f>Detail!AB43</f>
        <v>16780500</v>
      </c>
      <c r="M10" s="801"/>
      <c r="N10" s="318"/>
    </row>
    <row r="11" spans="2:21" ht="17.25" customHeight="1">
      <c r="B11" s="318"/>
      <c r="C11" s="361"/>
      <c r="D11" s="362"/>
      <c r="E11" s="352"/>
      <c r="F11" s="819" t="str">
        <f>Detail!W43</f>
        <v>Homeless</v>
      </c>
      <c r="G11" s="820"/>
      <c r="H11" s="357"/>
      <c r="I11" s="796" t="s">
        <v>602</v>
      </c>
      <c r="J11" s="797"/>
      <c r="K11" s="530"/>
      <c r="L11" s="828" t="str">
        <f>Detail!AG43</f>
        <v>US Bank</v>
      </c>
      <c r="M11" s="829"/>
      <c r="N11" s="318"/>
    </row>
    <row r="12" spans="2:21">
      <c r="B12" s="318"/>
      <c r="C12" s="361"/>
      <c r="D12" s="362"/>
      <c r="E12" s="352"/>
      <c r="F12" s="819" t="str">
        <f>Detail!X43</f>
        <v>Dual Diagnosis</v>
      </c>
      <c r="G12" s="820"/>
      <c r="H12" s="357"/>
      <c r="I12" s="796" t="s">
        <v>603</v>
      </c>
      <c r="J12" s="797"/>
      <c r="K12" s="797"/>
      <c r="L12" s="828">
        <f>Detail!N43</f>
        <v>2008</v>
      </c>
      <c r="M12" s="829"/>
      <c r="N12" s="318"/>
    </row>
    <row r="13" spans="2:21" ht="17.25" customHeight="1">
      <c r="B13" s="318"/>
      <c r="C13" s="796" t="s">
        <v>525</v>
      </c>
      <c r="D13" s="797"/>
      <c r="E13" s="354"/>
      <c r="F13" s="827" t="str">
        <f>Detail!AM43</f>
        <v>MHMG</v>
      </c>
      <c r="G13" s="820"/>
      <c r="H13" s="357"/>
      <c r="I13" s="796" t="s">
        <v>256</v>
      </c>
      <c r="J13" s="797"/>
      <c r="K13" s="797"/>
      <c r="L13" s="800">
        <f>Detail!AC43</f>
        <v>12585375</v>
      </c>
      <c r="M13" s="801"/>
      <c r="N13" s="318"/>
    </row>
    <row r="14" spans="2:21" ht="35.25" customHeight="1">
      <c r="B14" s="318"/>
      <c r="C14" s="796" t="s">
        <v>172</v>
      </c>
      <c r="D14" s="797"/>
      <c r="E14" s="352"/>
      <c r="F14" s="819" t="str">
        <f>Detail!Z43</f>
        <v>Case Management - In House</v>
      </c>
      <c r="G14" s="820"/>
      <c r="H14" s="357"/>
      <c r="I14" s="796" t="s">
        <v>257</v>
      </c>
      <c r="J14" s="797"/>
      <c r="K14" s="797"/>
      <c r="L14" s="800">
        <f>Detail!AF43</f>
        <v>11452691.25</v>
      </c>
      <c r="M14" s="801"/>
      <c r="N14" s="318"/>
    </row>
    <row r="15" spans="2:21" ht="17.25" customHeight="1" thickBot="1">
      <c r="B15" s="318"/>
      <c r="C15" s="796" t="s">
        <v>217</v>
      </c>
      <c r="D15" s="797"/>
      <c r="E15" s="355"/>
      <c r="F15" s="819" t="str">
        <f>Detail!AA43</f>
        <v>Government Contracts</v>
      </c>
      <c r="G15" s="820"/>
      <c r="H15" s="357"/>
      <c r="I15" s="821" t="s">
        <v>255</v>
      </c>
      <c r="J15" s="822"/>
      <c r="K15" s="822"/>
      <c r="L15" s="823">
        <f>Detail!AD43</f>
        <v>1258537.5</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Detail!AH43</f>
        <v>1000000</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Detail!AJ43</f>
        <v>360000</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Detail!AI43</f>
        <v>640000</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6" thickTop="1">
      <c r="B21" s="320"/>
      <c r="C21" s="804" t="s">
        <v>46</v>
      </c>
      <c r="D21" s="805"/>
      <c r="E21" s="349"/>
      <c r="F21" s="806" t="str">
        <f>Detail!F43</f>
        <v>Operations - Sub Phase Close Out</v>
      </c>
      <c r="G21" s="807"/>
      <c r="H21" s="359"/>
      <c r="I21" s="804" t="s">
        <v>226</v>
      </c>
      <c r="J21" s="805"/>
      <c r="K21" s="805"/>
      <c r="L21" s="808">
        <f>Detail!Q43</f>
        <v>1</v>
      </c>
      <c r="M21" s="809"/>
      <c r="N21" s="320"/>
    </row>
    <row r="22" spans="2:21" s="88" customFormat="1" ht="17.25" customHeight="1">
      <c r="B22" s="320"/>
      <c r="C22" s="796" t="s">
        <v>223</v>
      </c>
      <c r="D22" s="797"/>
      <c r="E22" s="348"/>
      <c r="F22" s="798">
        <f>Detail!P43</f>
        <v>39783</v>
      </c>
      <c r="G22" s="799"/>
      <c r="H22" s="359"/>
      <c r="I22" s="796" t="s">
        <v>227</v>
      </c>
      <c r="J22" s="797"/>
      <c r="K22" s="797"/>
      <c r="L22" s="800">
        <f>Detail!AO43+Detail!AP43+Detail!AQ43+Detail!AR43</f>
        <v>360000</v>
      </c>
      <c r="M22" s="801"/>
      <c r="N22" s="320"/>
    </row>
    <row r="23" spans="2:21" s="88" customFormat="1" ht="17.25" customHeight="1">
      <c r="B23" s="320"/>
      <c r="C23" s="796" t="s">
        <v>224</v>
      </c>
      <c r="D23" s="797"/>
      <c r="E23" s="348"/>
      <c r="F23" s="798">
        <f>Detail!R43</f>
        <v>39783</v>
      </c>
      <c r="G23" s="799"/>
      <c r="H23" s="359"/>
      <c r="I23" s="796" t="s">
        <v>228</v>
      </c>
      <c r="J23" s="797"/>
      <c r="K23" s="797"/>
      <c r="L23" s="800">
        <f>Detail!BG43</f>
        <v>0</v>
      </c>
      <c r="M23" s="801"/>
      <c r="N23" s="320"/>
    </row>
    <row r="24" spans="2:21" s="88" customFormat="1" ht="17.25" customHeight="1" thickBot="1">
      <c r="B24" s="320"/>
      <c r="C24" s="778" t="s">
        <v>225</v>
      </c>
      <c r="D24" s="779"/>
      <c r="E24" s="533"/>
      <c r="F24" s="780">
        <f>Detail!S43</f>
        <v>40422</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t="s">
        <v>753</v>
      </c>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Englewood Apartments</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c r="B38" s="322"/>
      <c r="C38" s="792" t="s">
        <v>514</v>
      </c>
      <c r="D38" s="793"/>
      <c r="E38" s="344"/>
      <c r="F38" s="368" t="str">
        <f>I92</f>
        <v>Done</v>
      </c>
      <c r="G38" s="368" t="str">
        <f>J92</f>
        <v>Done</v>
      </c>
      <c r="H38" s="794"/>
      <c r="I38" s="794"/>
      <c r="J38" s="794"/>
      <c r="K38" s="794"/>
      <c r="L38" s="794"/>
      <c r="M38" s="795"/>
      <c r="N38" s="322"/>
    </row>
    <row r="39" spans="2:19" s="300" customFormat="1" ht="12.75" customHeight="1">
      <c r="B39" s="322"/>
      <c r="C39" s="774" t="s">
        <v>516</v>
      </c>
      <c r="D39" s="775"/>
      <c r="E39" s="532"/>
      <c r="F39" s="368" t="str">
        <f>I94</f>
        <v>Done</v>
      </c>
      <c r="G39" s="369" t="str">
        <f>J94</f>
        <v>Done</v>
      </c>
      <c r="H39" s="772"/>
      <c r="I39" s="772"/>
      <c r="J39" s="772"/>
      <c r="K39" s="772"/>
      <c r="L39" s="772"/>
      <c r="M39" s="773"/>
      <c r="N39" s="322"/>
    </row>
    <row r="40" spans="2:19" s="300" customFormat="1">
      <c r="B40" s="322"/>
      <c r="C40" s="774" t="s">
        <v>344</v>
      </c>
      <c r="D40" s="775"/>
      <c r="E40" s="532"/>
      <c r="F40" s="368" t="str">
        <f>I96</f>
        <v>Done</v>
      </c>
      <c r="G40" s="368" t="str">
        <f>J96</f>
        <v>Done</v>
      </c>
      <c r="H40" s="772"/>
      <c r="I40" s="772"/>
      <c r="J40" s="772"/>
      <c r="K40" s="772"/>
      <c r="L40" s="772"/>
      <c r="M40" s="773"/>
      <c r="N40" s="322"/>
    </row>
    <row r="41" spans="2:19" s="300" customFormat="1" ht="12.75" customHeight="1">
      <c r="B41" s="322"/>
      <c r="C41" s="774" t="s">
        <v>535</v>
      </c>
      <c r="D41" s="775"/>
      <c r="E41" s="532"/>
      <c r="F41" s="368" t="str">
        <f>Englewood!I102</f>
        <v>Done</v>
      </c>
      <c r="G41" s="368" t="str">
        <f>J102</f>
        <v>Done</v>
      </c>
      <c r="H41" s="772"/>
      <c r="I41" s="772"/>
      <c r="J41" s="772"/>
      <c r="K41" s="772"/>
      <c r="L41" s="772"/>
      <c r="M41" s="773"/>
      <c r="N41" s="322"/>
      <c r="P41" s="358"/>
      <c r="Q41" s="358"/>
      <c r="R41" s="358"/>
      <c r="S41" s="358"/>
    </row>
    <row r="42" spans="2:19" s="300" customFormat="1">
      <c r="B42" s="322"/>
      <c r="C42" s="774" t="s">
        <v>536</v>
      </c>
      <c r="D42" s="775"/>
      <c r="E42" s="532"/>
      <c r="F42" s="368" t="str">
        <f>I110</f>
        <v>Done</v>
      </c>
      <c r="G42" s="368" t="str">
        <f>J110</f>
        <v>Done</v>
      </c>
      <c r="H42" s="772"/>
      <c r="I42" s="772"/>
      <c r="J42" s="772"/>
      <c r="K42" s="772"/>
      <c r="L42" s="772"/>
      <c r="M42" s="773"/>
      <c r="N42" s="322"/>
      <c r="P42" s="358"/>
      <c r="Q42" s="358"/>
      <c r="R42" s="358"/>
      <c r="S42" s="358"/>
    </row>
    <row r="43" spans="2:19" s="300" customFormat="1">
      <c r="B43" s="322"/>
      <c r="C43" s="774" t="s">
        <v>517</v>
      </c>
      <c r="D43" s="775"/>
      <c r="E43" s="532"/>
      <c r="F43" s="368" t="str">
        <f>I131</f>
        <v>Done</v>
      </c>
      <c r="G43" s="368" t="str">
        <f>J131</f>
        <v>Done</v>
      </c>
      <c r="H43" s="772"/>
      <c r="I43" s="772"/>
      <c r="J43" s="772"/>
      <c r="K43" s="772"/>
      <c r="L43" s="772"/>
      <c r="M43" s="773"/>
      <c r="N43" s="322"/>
      <c r="P43" s="358"/>
      <c r="Q43" s="358"/>
      <c r="R43" s="358"/>
      <c r="S43" s="358"/>
    </row>
    <row r="44" spans="2:19" s="300" customFormat="1">
      <c r="B44" s="322"/>
      <c r="C44" s="774" t="s">
        <v>537</v>
      </c>
      <c r="D44" s="775"/>
      <c r="E44" s="532"/>
      <c r="F44" s="368" t="str">
        <f>I196</f>
        <v>Done</v>
      </c>
      <c r="G44" s="368" t="str">
        <f>J196</f>
        <v>Done</v>
      </c>
      <c r="H44" s="772"/>
      <c r="I44" s="772"/>
      <c r="J44" s="772"/>
      <c r="K44" s="772"/>
      <c r="L44" s="772"/>
      <c r="M44" s="773"/>
      <c r="N44" s="322"/>
      <c r="P44" s="358"/>
      <c r="Q44" s="358"/>
      <c r="R44" s="358"/>
      <c r="S44" s="358"/>
    </row>
    <row r="45" spans="2:19" s="300" customFormat="1">
      <c r="B45" s="322"/>
      <c r="C45" s="774" t="s">
        <v>519</v>
      </c>
      <c r="D45" s="775"/>
      <c r="E45" s="532"/>
      <c r="F45" s="368" t="str">
        <f>I200</f>
        <v>Done</v>
      </c>
      <c r="G45" s="368" t="str">
        <f>J200</f>
        <v>Done</v>
      </c>
      <c r="H45" s="772"/>
      <c r="I45" s="772"/>
      <c r="J45" s="772"/>
      <c r="K45" s="772"/>
      <c r="L45" s="772"/>
      <c r="M45" s="773"/>
      <c r="N45" s="322"/>
    </row>
    <row r="46" spans="2:19" s="300" customFormat="1">
      <c r="B46" s="322"/>
      <c r="C46" s="774" t="s">
        <v>538</v>
      </c>
      <c r="D46" s="775"/>
      <c r="E46" s="532"/>
      <c r="F46" s="368" t="str">
        <f>I232</f>
        <v>Done</v>
      </c>
      <c r="G46" s="368" t="str">
        <f>J232</f>
        <v>Done</v>
      </c>
      <c r="H46" s="772"/>
      <c r="I46" s="772"/>
      <c r="J46" s="772"/>
      <c r="K46" s="772"/>
      <c r="L46" s="772"/>
      <c r="M46" s="773"/>
      <c r="N46" s="322"/>
    </row>
    <row r="47" spans="2:19" s="300" customFormat="1" ht="14">
      <c r="B47" s="322"/>
      <c r="C47" s="774" t="s">
        <v>55</v>
      </c>
      <c r="D47" s="775"/>
      <c r="E47" s="532"/>
      <c r="F47" s="368">
        <f>I225</f>
        <v>39813</v>
      </c>
      <c r="G47" s="368">
        <f>J225</f>
        <v>39813</v>
      </c>
      <c r="H47" s="772"/>
      <c r="I47" s="772"/>
      <c r="J47" s="772"/>
      <c r="K47" s="772"/>
      <c r="L47" s="772"/>
      <c r="M47" s="773"/>
      <c r="N47" s="322"/>
    </row>
    <row r="48" spans="2:19" s="300" customFormat="1" ht="14">
      <c r="B48" s="322"/>
      <c r="C48" s="774" t="s">
        <v>346</v>
      </c>
      <c r="D48" s="775"/>
      <c r="E48" s="532"/>
      <c r="F48" s="368">
        <f>I235</f>
        <v>39813</v>
      </c>
      <c r="G48" s="368">
        <f>J235</f>
        <v>39813</v>
      </c>
      <c r="H48" s="772"/>
      <c r="I48" s="772"/>
      <c r="J48" s="772"/>
      <c r="K48" s="772"/>
      <c r="L48" s="772"/>
      <c r="M48" s="773"/>
      <c r="N48" s="322"/>
    </row>
    <row r="49" spans="2:14" s="300" customFormat="1">
      <c r="B49" s="322"/>
      <c r="C49" s="774" t="s">
        <v>347</v>
      </c>
      <c r="D49" s="775"/>
      <c r="E49" s="532"/>
      <c r="F49" s="368" t="str">
        <f>I237</f>
        <v>Done</v>
      </c>
      <c r="G49" s="368" t="str">
        <f>J237</f>
        <v>Done</v>
      </c>
      <c r="H49" s="772"/>
      <c r="I49" s="772"/>
      <c r="J49" s="772"/>
      <c r="K49" s="772"/>
      <c r="L49" s="772"/>
      <c r="M49" s="773"/>
      <c r="N49" s="322"/>
    </row>
    <row r="50" spans="2:14" s="300" customFormat="1" ht="14">
      <c r="B50" s="322"/>
      <c r="C50" s="774" t="s">
        <v>348</v>
      </c>
      <c r="D50" s="775"/>
      <c r="E50" s="532"/>
      <c r="F50" s="368">
        <f>I254</f>
        <v>40422</v>
      </c>
      <c r="G50" s="368">
        <f>J254</f>
        <v>40422</v>
      </c>
      <c r="H50" s="772"/>
      <c r="I50" s="772"/>
      <c r="J50" s="772"/>
      <c r="K50" s="772"/>
      <c r="L50" s="772"/>
      <c r="M50" s="773"/>
      <c r="N50" s="322"/>
    </row>
    <row r="51" spans="2:14" s="300" customFormat="1">
      <c r="B51" s="322"/>
      <c r="C51" s="774" t="s">
        <v>65</v>
      </c>
      <c r="D51" s="775"/>
      <c r="E51" s="532"/>
      <c r="F51" s="368" t="str">
        <f>I255</f>
        <v>Done</v>
      </c>
      <c r="G51" s="368" t="str">
        <f>J255</f>
        <v>Done</v>
      </c>
      <c r="H51" s="772"/>
      <c r="I51" s="772"/>
      <c r="J51" s="772"/>
      <c r="K51" s="772"/>
      <c r="L51" s="772"/>
      <c r="M51" s="773"/>
      <c r="N51" s="322"/>
    </row>
    <row r="52" spans="2:14" s="300" customFormat="1">
      <c r="B52" s="322"/>
      <c r="C52" s="774" t="s">
        <v>540</v>
      </c>
      <c r="D52" s="775"/>
      <c r="E52" s="532"/>
      <c r="F52" s="368" t="str">
        <f>I273</f>
        <v>Done</v>
      </c>
      <c r="G52" s="368" t="str">
        <f>J273</f>
        <v>Done</v>
      </c>
      <c r="H52" s="772" t="s">
        <v>763</v>
      </c>
      <c r="I52" s="772"/>
      <c r="J52" s="772"/>
      <c r="K52" s="772"/>
      <c r="L52" s="772"/>
      <c r="M52" s="773"/>
      <c r="N52" s="322"/>
    </row>
    <row r="53" spans="2:14" s="300" customFormat="1" ht="25.5" customHeight="1">
      <c r="B53" s="322"/>
      <c r="C53" s="774" t="s">
        <v>542</v>
      </c>
      <c r="D53" s="775"/>
      <c r="E53" s="532"/>
      <c r="F53" s="368" t="str">
        <f>I276</f>
        <v>In Progress</v>
      </c>
      <c r="G53" s="368" t="str">
        <f>J276</f>
        <v>In Progress</v>
      </c>
      <c r="H53" s="772" t="s">
        <v>764</v>
      </c>
      <c r="I53" s="772"/>
      <c r="J53" s="772"/>
      <c r="K53" s="772"/>
      <c r="L53" s="772"/>
      <c r="M53" s="773"/>
      <c r="N53" s="322"/>
    </row>
    <row r="54" spans="2:14" s="300" customFormat="1">
      <c r="B54" s="322"/>
      <c r="C54" s="774">
        <v>8609</v>
      </c>
      <c r="D54" s="775"/>
      <c r="E54" s="532"/>
      <c r="F54" s="368" t="str">
        <f>I289</f>
        <v>In Progress</v>
      </c>
      <c r="G54" s="368" t="str">
        <f>J289</f>
        <v>In Progress</v>
      </c>
      <c r="H54" s="772"/>
      <c r="I54" s="772"/>
      <c r="J54" s="772"/>
      <c r="K54" s="772"/>
      <c r="L54" s="772"/>
      <c r="M54" s="773"/>
      <c r="N54" s="322"/>
    </row>
    <row r="55" spans="2:14" s="300" customFormat="1">
      <c r="B55" s="322"/>
      <c r="C55" s="774" t="s">
        <v>349</v>
      </c>
      <c r="D55" s="775"/>
      <c r="E55" s="344"/>
      <c r="F55" s="370" t="str">
        <f>I290</f>
        <v>In Progress</v>
      </c>
      <c r="G55" s="371" t="str">
        <f>J290</f>
        <v>In Progress</v>
      </c>
      <c r="H55" s="772"/>
      <c r="I55" s="772"/>
      <c r="J55" s="772"/>
      <c r="K55" s="772"/>
      <c r="L55" s="772"/>
      <c r="M55" s="773"/>
      <c r="N55" s="322"/>
    </row>
    <row r="56" spans="2:14" s="300" customFormat="1" ht="14">
      <c r="B56" s="322"/>
      <c r="C56" s="776" t="s">
        <v>69</v>
      </c>
      <c r="D56" s="777"/>
      <c r="E56" s="531"/>
      <c r="F56" s="338"/>
      <c r="G56" s="338"/>
      <c r="H56" s="772"/>
      <c r="I56" s="772"/>
      <c r="J56" s="772"/>
      <c r="K56" s="772"/>
      <c r="L56" s="772"/>
      <c r="M56" s="773"/>
      <c r="N56" s="322"/>
    </row>
    <row r="57" spans="2:14" s="300" customFormat="1" ht="14">
      <c r="B57" s="322"/>
      <c r="C57" s="770" t="s">
        <v>522</v>
      </c>
      <c r="D57" s="771"/>
      <c r="E57" s="531"/>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Englewood Apartments</v>
      </c>
      <c r="J63" s="769"/>
      <c r="K63" s="17"/>
      <c r="L63" s="17"/>
      <c r="M63" s="8"/>
      <c r="N63" s="17"/>
    </row>
    <row r="64" spans="2:14" ht="16" thickBot="1">
      <c r="C64" s="308" t="s">
        <v>351</v>
      </c>
      <c r="D64" s="308"/>
      <c r="E64" s="308"/>
      <c r="F64" s="308"/>
      <c r="H64" s="363"/>
      <c r="I64" s="768" t="str">
        <f>F7</f>
        <v>Chicago</v>
      </c>
      <c r="J64" s="769"/>
      <c r="K64" s="17"/>
      <c r="L64" s="17"/>
      <c r="M64" s="8"/>
      <c r="N64" s="17"/>
    </row>
    <row r="65" spans="2:15" ht="16" thickBot="1">
      <c r="C65" s="308" t="s">
        <v>352</v>
      </c>
      <c r="D65" s="308"/>
      <c r="E65" s="308"/>
      <c r="F65" s="308"/>
      <c r="H65" s="363"/>
      <c r="I65" s="768" t="str">
        <f>C3</f>
        <v>M Angelini</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c r="J70" s="332"/>
    </row>
    <row r="71" spans="2:15">
      <c r="C71" s="2" t="s">
        <v>356</v>
      </c>
      <c r="D71" s="2"/>
      <c r="E71" s="2"/>
      <c r="F71" s="2"/>
      <c r="G71" s="2"/>
      <c r="H71" s="2"/>
      <c r="I71" s="332"/>
      <c r="J71" s="332"/>
    </row>
    <row r="72" spans="2:15">
      <c r="C72" s="2" t="s">
        <v>357</v>
      </c>
      <c r="D72" s="2"/>
      <c r="E72" s="2"/>
      <c r="F72" s="2"/>
      <c r="G72" s="2"/>
      <c r="H72" s="2"/>
      <c r="I72" s="332"/>
      <c r="J72" s="332"/>
    </row>
    <row r="73" spans="2:15">
      <c r="C73" s="2" t="s">
        <v>358</v>
      </c>
      <c r="D73" s="2"/>
      <c r="E73" s="2"/>
      <c r="F73" s="2"/>
      <c r="G73" s="2"/>
      <c r="H73" s="2"/>
      <c r="I73" s="332"/>
      <c r="J73" s="332"/>
    </row>
    <row r="74" spans="2:15">
      <c r="C74" s="312" t="s">
        <v>359</v>
      </c>
      <c r="D74" s="312"/>
      <c r="E74" s="312"/>
      <c r="F74" s="312"/>
      <c r="G74" s="312"/>
      <c r="H74" s="312"/>
      <c r="I74" s="332"/>
      <c r="J74" s="332"/>
    </row>
    <row r="75" spans="2:15">
      <c r="C75" s="2" t="s">
        <v>360</v>
      </c>
      <c r="D75" s="2"/>
      <c r="E75" s="2"/>
      <c r="F75" s="312"/>
      <c r="G75" s="312"/>
      <c r="H75" s="312"/>
      <c r="I75" s="332"/>
      <c r="J75" s="332"/>
    </row>
    <row r="76" spans="2:15">
      <c r="C76" s="2" t="s">
        <v>361</v>
      </c>
      <c r="D76" s="2"/>
      <c r="E76" s="2"/>
      <c r="F76" s="312"/>
      <c r="G76" s="312"/>
      <c r="H76" s="312"/>
      <c r="I76" s="332"/>
      <c r="J76" s="332"/>
    </row>
    <row r="77" spans="2:15">
      <c r="C77" s="2" t="s">
        <v>362</v>
      </c>
      <c r="D77" s="2"/>
      <c r="E77" s="2"/>
      <c r="F77" s="312"/>
      <c r="G77" s="312"/>
      <c r="H77" s="312"/>
      <c r="I77" s="534"/>
      <c r="J77" s="534"/>
    </row>
    <row r="78" spans="2:15">
      <c r="C78" s="312" t="s">
        <v>363</v>
      </c>
      <c r="D78" s="312"/>
      <c r="E78" s="312"/>
      <c r="F78" s="312"/>
      <c r="G78" s="312"/>
      <c r="H78" s="312"/>
      <c r="I78" s="332"/>
      <c r="J78" s="332"/>
    </row>
    <row r="79" spans="2:15">
      <c r="C79" s="312" t="s">
        <v>364</v>
      </c>
      <c r="D79" s="312"/>
      <c r="E79" s="312"/>
      <c r="F79" s="312"/>
      <c r="G79" s="312"/>
      <c r="H79" s="312"/>
      <c r="I79" s="332"/>
      <c r="J79" s="332"/>
    </row>
    <row r="80" spans="2:15">
      <c r="C80" s="312" t="s">
        <v>365</v>
      </c>
      <c r="D80" s="312"/>
      <c r="E80" s="312"/>
      <c r="F80" s="312"/>
      <c r="G80" s="312"/>
      <c r="H80" s="312"/>
      <c r="I80" s="332"/>
      <c r="J80" s="332"/>
    </row>
    <row r="81" spans="2:10">
      <c r="C81" s="315" t="s">
        <v>366</v>
      </c>
      <c r="D81" s="315"/>
      <c r="E81" s="315"/>
      <c r="F81" s="314"/>
      <c r="G81" s="314"/>
      <c r="H81" s="314"/>
      <c r="I81" s="332"/>
      <c r="J81" s="332"/>
    </row>
    <row r="82" spans="2:10">
      <c r="C82" s="2" t="s">
        <v>367</v>
      </c>
      <c r="D82" s="2"/>
      <c r="E82" s="2"/>
      <c r="F82" s="312"/>
      <c r="G82" s="312"/>
      <c r="H82" s="312"/>
      <c r="I82" s="534"/>
      <c r="J82" s="534"/>
    </row>
    <row r="83" spans="2:10">
      <c r="C83" s="312" t="s">
        <v>368</v>
      </c>
      <c r="D83" s="312"/>
      <c r="E83" s="312"/>
      <c r="F83" s="312"/>
      <c r="G83" s="312"/>
      <c r="H83" s="312"/>
      <c r="I83" s="332"/>
      <c r="J83" s="332"/>
    </row>
    <row r="84" spans="2:10">
      <c r="C84" s="312" t="s">
        <v>369</v>
      </c>
      <c r="D84" s="312"/>
      <c r="E84" s="312"/>
      <c r="F84" s="312"/>
      <c r="G84" s="312"/>
      <c r="H84" s="312"/>
      <c r="I84" s="332"/>
      <c r="J84" s="332"/>
    </row>
    <row r="85" spans="2:10">
      <c r="C85" s="312" t="s">
        <v>370</v>
      </c>
      <c r="D85" s="312"/>
      <c r="E85" s="312"/>
      <c r="F85" s="312"/>
      <c r="G85" s="312"/>
      <c r="H85" s="312"/>
      <c r="I85" s="332"/>
      <c r="J85" s="332"/>
    </row>
    <row r="86" spans="2:10">
      <c r="C86" s="2" t="s">
        <v>371</v>
      </c>
      <c r="D86" s="2"/>
      <c r="E86" s="2"/>
      <c r="F86" s="312"/>
      <c r="G86" s="312"/>
      <c r="H86" s="312"/>
      <c r="I86" s="332"/>
      <c r="J86" s="332"/>
    </row>
    <row r="87" spans="2:10">
      <c r="C87" s="2" t="s">
        <v>372</v>
      </c>
      <c r="D87" s="2"/>
      <c r="E87" s="2"/>
      <c r="F87" s="312"/>
      <c r="G87" s="312"/>
      <c r="H87" s="312"/>
      <c r="I87" s="332"/>
      <c r="J87" s="332"/>
    </row>
    <row r="88" spans="2:10">
      <c r="C88" s="2" t="s">
        <v>373</v>
      </c>
      <c r="D88" s="2"/>
      <c r="E88" s="2"/>
      <c r="F88" s="312"/>
      <c r="G88" s="312"/>
      <c r="H88" s="312"/>
      <c r="I88" s="332"/>
      <c r="J88" s="332"/>
    </row>
    <row r="89" spans="2:10">
      <c r="C89" s="2" t="s">
        <v>374</v>
      </c>
      <c r="D89" s="2"/>
      <c r="E89" s="2"/>
      <c r="F89" s="312"/>
      <c r="G89" s="312"/>
      <c r="H89" s="312"/>
      <c r="I89" s="332"/>
      <c r="J89" s="332"/>
    </row>
    <row r="90" spans="2:10">
      <c r="C90" s="2" t="s">
        <v>375</v>
      </c>
      <c r="D90" s="2"/>
      <c r="E90" s="2"/>
      <c r="F90" s="312"/>
      <c r="G90" s="312"/>
      <c r="H90" s="312"/>
      <c r="I90" s="332"/>
      <c r="J90" s="332"/>
    </row>
    <row r="91" spans="2:10">
      <c r="C91" s="2" t="s">
        <v>376</v>
      </c>
      <c r="D91" s="2"/>
      <c r="E91" s="2"/>
      <c r="F91" s="312"/>
      <c r="G91" s="312"/>
      <c r="H91" s="312"/>
      <c r="I91" s="332"/>
      <c r="J91" s="332"/>
    </row>
    <row r="92" spans="2:10">
      <c r="C92" s="308" t="s">
        <v>377</v>
      </c>
      <c r="D92" s="308"/>
      <c r="E92" s="308"/>
      <c r="F92" s="312"/>
      <c r="G92" s="312"/>
      <c r="H92" s="312"/>
      <c r="I92" s="364" t="s">
        <v>610</v>
      </c>
      <c r="J92" s="364" t="s">
        <v>610</v>
      </c>
    </row>
    <row r="93" spans="2:10">
      <c r="C93" s="2"/>
      <c r="D93" s="2"/>
      <c r="E93" s="2"/>
      <c r="F93" s="312"/>
      <c r="G93" s="312"/>
      <c r="H93" s="312"/>
      <c r="I93" s="331"/>
      <c r="J93" s="331"/>
    </row>
    <row r="94" spans="2:10">
      <c r="B94" s="309" t="s">
        <v>378</v>
      </c>
      <c r="C94" s="308"/>
      <c r="D94" s="308"/>
      <c r="E94" s="308"/>
      <c r="F94" s="313"/>
      <c r="G94" s="313"/>
      <c r="H94" s="313"/>
      <c r="I94" s="364" t="s">
        <v>610</v>
      </c>
      <c r="J94" s="364" t="s">
        <v>610</v>
      </c>
    </row>
    <row r="95" spans="2:10">
      <c r="B95" s="309"/>
      <c r="C95" s="308"/>
      <c r="D95" s="308"/>
      <c r="E95" s="308"/>
      <c r="F95" s="313"/>
      <c r="G95" s="313"/>
      <c r="H95" s="313"/>
      <c r="I95" s="331"/>
      <c r="J95" s="331"/>
    </row>
    <row r="96" spans="2:10">
      <c r="B96" s="308" t="s">
        <v>512</v>
      </c>
      <c r="C96" s="2"/>
      <c r="D96" s="2"/>
      <c r="E96" s="2"/>
      <c r="F96" s="312"/>
      <c r="G96" s="312"/>
      <c r="H96" s="312"/>
      <c r="I96" s="364" t="s">
        <v>610</v>
      </c>
      <c r="J96" s="364" t="s">
        <v>610</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c r="J99" s="332"/>
    </row>
    <row r="100" spans="2:10">
      <c r="C100" s="2" t="s">
        <v>381</v>
      </c>
      <c r="D100" s="2"/>
      <c r="E100" s="2"/>
      <c r="F100" s="312"/>
      <c r="G100" s="312"/>
      <c r="H100" s="312"/>
      <c r="I100" s="332"/>
      <c r="J100" s="332"/>
    </row>
    <row r="101" spans="2:10">
      <c r="C101" s="2" t="s">
        <v>382</v>
      </c>
      <c r="D101" s="2"/>
      <c r="E101" s="2"/>
      <c r="F101" s="312"/>
      <c r="G101" s="312"/>
      <c r="H101" s="312"/>
      <c r="I101" s="332"/>
      <c r="J101" s="332"/>
    </row>
    <row r="102" spans="2:10">
      <c r="C102" s="308" t="s">
        <v>534</v>
      </c>
      <c r="D102" s="2"/>
      <c r="E102" s="2"/>
      <c r="F102" s="312"/>
      <c r="G102" s="312"/>
      <c r="H102" s="312"/>
      <c r="I102" s="364" t="s">
        <v>610</v>
      </c>
      <c r="J102" s="364" t="s">
        <v>610</v>
      </c>
    </row>
    <row r="103" spans="2:10">
      <c r="C103" s="2" t="s">
        <v>524</v>
      </c>
      <c r="D103" s="2"/>
      <c r="E103" s="2"/>
      <c r="F103" s="312"/>
      <c r="G103" s="312"/>
      <c r="H103" s="312"/>
      <c r="I103" s="332"/>
      <c r="J103" s="332"/>
    </row>
    <row r="104" spans="2:10">
      <c r="C104" s="2" t="s">
        <v>383</v>
      </c>
      <c r="D104" s="2"/>
      <c r="E104" s="2"/>
      <c r="F104" s="312"/>
      <c r="G104" s="312"/>
      <c r="H104" s="312"/>
      <c r="I104" s="332"/>
      <c r="J104" s="332"/>
    </row>
    <row r="105" spans="2:10">
      <c r="C105" s="2" t="s">
        <v>384</v>
      </c>
      <c r="D105" s="2"/>
      <c r="E105" s="2"/>
      <c r="F105" s="312"/>
      <c r="G105" s="312"/>
      <c r="H105" s="312"/>
      <c r="I105" s="332"/>
      <c r="J105" s="332"/>
    </row>
    <row r="106" spans="2:10">
      <c r="C106" s="2" t="s">
        <v>544</v>
      </c>
      <c r="D106" s="2"/>
      <c r="E106" s="2"/>
      <c r="F106" s="312"/>
      <c r="G106" s="312"/>
      <c r="H106" s="312"/>
      <c r="I106" s="332"/>
      <c r="J106" s="332"/>
    </row>
    <row r="107" spans="2:10">
      <c r="C107" s="2" t="s">
        <v>385</v>
      </c>
      <c r="D107" s="2"/>
      <c r="E107" s="2"/>
      <c r="F107" s="312"/>
      <c r="G107" s="312"/>
      <c r="H107" s="312"/>
      <c r="I107" s="332"/>
      <c r="J107" s="332"/>
    </row>
    <row r="108" spans="2:10">
      <c r="C108" s="2" t="s">
        <v>386</v>
      </c>
      <c r="D108" s="2"/>
      <c r="E108" s="2"/>
      <c r="F108" s="312"/>
      <c r="G108" s="312"/>
      <c r="H108" s="312"/>
      <c r="I108" s="332"/>
      <c r="J108" s="332"/>
    </row>
    <row r="109" spans="2:10">
      <c r="C109" s="2" t="s">
        <v>523</v>
      </c>
      <c r="D109" s="2"/>
      <c r="E109" s="2"/>
      <c r="F109" s="312"/>
      <c r="G109" s="312"/>
      <c r="H109" s="312"/>
      <c r="I109" s="332"/>
      <c r="J109" s="332"/>
    </row>
    <row r="110" spans="2:10">
      <c r="C110" s="308" t="s">
        <v>526</v>
      </c>
      <c r="D110" s="2"/>
      <c r="E110" s="2"/>
      <c r="F110" s="312"/>
      <c r="G110" s="312"/>
      <c r="H110" s="312"/>
      <c r="I110" s="364" t="s">
        <v>610</v>
      </c>
      <c r="J110" s="364" t="s">
        <v>610</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c r="J115" s="332"/>
    </row>
    <row r="116" spans="3:10">
      <c r="C116" s="315" t="s">
        <v>342</v>
      </c>
      <c r="D116" s="315"/>
      <c r="E116" s="315"/>
      <c r="F116" s="315"/>
      <c r="G116" s="315"/>
      <c r="H116" s="315"/>
      <c r="I116" s="332"/>
      <c r="J116" s="332"/>
    </row>
    <row r="117" spans="3:10">
      <c r="C117" s="315" t="s">
        <v>390</v>
      </c>
      <c r="D117" s="315"/>
      <c r="E117" s="315"/>
      <c r="F117" s="315"/>
      <c r="G117" s="315"/>
      <c r="H117" s="315"/>
      <c r="I117" s="332"/>
      <c r="J117" s="332"/>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c r="J120" s="332"/>
    </row>
    <row r="121" spans="3:10">
      <c r="C121" s="315" t="s">
        <v>393</v>
      </c>
      <c r="D121" s="315"/>
      <c r="E121" s="315"/>
      <c r="F121" s="315"/>
      <c r="G121" s="315"/>
      <c r="H121" s="315"/>
      <c r="I121" s="332"/>
      <c r="J121" s="332"/>
    </row>
    <row r="122" spans="3:10">
      <c r="C122" s="315" t="s">
        <v>394</v>
      </c>
      <c r="D122" s="315"/>
      <c r="E122" s="315"/>
      <c r="F122" s="315"/>
      <c r="G122" s="315"/>
      <c r="H122" s="315"/>
      <c r="I122" s="332"/>
      <c r="J122" s="332"/>
    </row>
    <row r="123" spans="3:10">
      <c r="C123" s="315" t="s">
        <v>395</v>
      </c>
      <c r="D123" s="315"/>
      <c r="E123" s="315"/>
      <c r="F123" s="315"/>
      <c r="G123" s="315"/>
      <c r="H123" s="315"/>
      <c r="I123" s="534"/>
      <c r="J123" s="534"/>
    </row>
    <row r="124" spans="3:10">
      <c r="C124" s="315" t="s">
        <v>392</v>
      </c>
      <c r="D124" s="315"/>
      <c r="E124" s="315"/>
      <c r="F124" s="315"/>
      <c r="G124" s="315"/>
      <c r="H124" s="315"/>
      <c r="I124" s="332"/>
      <c r="J124" s="332"/>
    </row>
    <row r="125" spans="3:10">
      <c r="C125" s="315" t="s">
        <v>393</v>
      </c>
      <c r="D125" s="315"/>
      <c r="E125" s="315"/>
      <c r="F125" s="315"/>
      <c r="G125" s="315"/>
      <c r="H125" s="315"/>
      <c r="I125" s="332"/>
      <c r="J125" s="332"/>
    </row>
    <row r="126" spans="3:10">
      <c r="C126" s="315" t="s">
        <v>394</v>
      </c>
      <c r="D126" s="315"/>
      <c r="E126" s="315"/>
      <c r="F126" s="315"/>
      <c r="G126" s="315"/>
      <c r="H126" s="315"/>
      <c r="I126" s="332"/>
      <c r="J126" s="332"/>
    </row>
    <row r="127" spans="3:10">
      <c r="C127" s="315" t="s">
        <v>396</v>
      </c>
      <c r="D127" s="315"/>
      <c r="E127" s="315"/>
      <c r="F127" s="315"/>
      <c r="G127" s="315"/>
      <c r="H127" s="315"/>
      <c r="I127" s="332"/>
      <c r="J127" s="332"/>
    </row>
    <row r="128" spans="3:10">
      <c r="C128" s="315" t="s">
        <v>390</v>
      </c>
      <c r="D128" s="315"/>
      <c r="E128" s="315"/>
      <c r="F128" s="315"/>
      <c r="G128" s="315"/>
      <c r="H128" s="315"/>
      <c r="I128" s="534"/>
      <c r="J128" s="534"/>
    </row>
    <row r="129" spans="2:10">
      <c r="C129" s="315" t="s">
        <v>392</v>
      </c>
      <c r="D129" s="315"/>
      <c r="E129" s="315"/>
      <c r="F129" s="315"/>
      <c r="G129" s="315"/>
      <c r="H129" s="315"/>
      <c r="I129" s="332"/>
      <c r="J129" s="332"/>
    </row>
    <row r="130" spans="2:10">
      <c r="C130" s="315" t="s">
        <v>393</v>
      </c>
      <c r="D130" s="315"/>
      <c r="E130" s="315"/>
      <c r="F130" s="315"/>
      <c r="G130" s="315"/>
      <c r="H130" s="315"/>
      <c r="I130" s="332"/>
      <c r="J130" s="332"/>
    </row>
    <row r="131" spans="2:10">
      <c r="C131" s="313" t="s">
        <v>528</v>
      </c>
      <c r="D131" s="312"/>
      <c r="E131" s="312"/>
      <c r="F131" s="312"/>
      <c r="G131" s="312"/>
      <c r="H131" s="312"/>
      <c r="I131" s="364" t="s">
        <v>610</v>
      </c>
      <c r="J131" s="364" t="s">
        <v>610</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c r="J134" s="332"/>
    </row>
    <row r="135" spans="2:10">
      <c r="C135" s="2" t="s">
        <v>398</v>
      </c>
      <c r="D135" s="2"/>
      <c r="E135" s="2"/>
      <c r="F135" s="312"/>
      <c r="G135" s="312"/>
      <c r="H135" s="312"/>
      <c r="I135" s="332"/>
      <c r="J135" s="332"/>
    </row>
    <row r="136" spans="2:10">
      <c r="C136" s="2" t="s">
        <v>399</v>
      </c>
      <c r="D136" s="2"/>
      <c r="E136" s="2"/>
      <c r="F136" s="312"/>
      <c r="G136" s="312"/>
      <c r="H136" s="312"/>
      <c r="I136" s="332"/>
      <c r="J136" s="332"/>
    </row>
    <row r="137" spans="2:10">
      <c r="C137" s="312" t="s">
        <v>363</v>
      </c>
      <c r="D137" s="312"/>
      <c r="E137" s="312"/>
      <c r="F137" s="312"/>
      <c r="G137" s="312"/>
      <c r="H137" s="312"/>
      <c r="I137" s="332"/>
      <c r="J137" s="332"/>
    </row>
    <row r="138" spans="2:10">
      <c r="C138" s="2" t="s">
        <v>400</v>
      </c>
      <c r="D138" s="2"/>
      <c r="E138" s="2"/>
      <c r="F138" s="312"/>
      <c r="G138" s="312"/>
      <c r="H138" s="312"/>
      <c r="I138" s="332"/>
      <c r="J138" s="332"/>
    </row>
    <row r="139" spans="2:10">
      <c r="C139" s="2" t="s">
        <v>401</v>
      </c>
      <c r="D139" s="2"/>
      <c r="E139" s="2"/>
      <c r="F139" s="312"/>
      <c r="G139" s="312"/>
      <c r="H139" s="312"/>
      <c r="I139" s="332"/>
      <c r="J139" s="332"/>
    </row>
    <row r="140" spans="2:10">
      <c r="C140" s="2" t="s">
        <v>402</v>
      </c>
      <c r="D140" s="2"/>
      <c r="E140" s="2"/>
      <c r="F140" s="312"/>
      <c r="G140" s="312"/>
      <c r="H140" s="312"/>
      <c r="I140" s="332"/>
      <c r="J140" s="332"/>
    </row>
    <row r="141" spans="2:10">
      <c r="C141" s="312" t="s">
        <v>403</v>
      </c>
      <c r="D141" s="312"/>
      <c r="E141" s="312"/>
      <c r="F141" s="312"/>
      <c r="G141" s="312"/>
      <c r="H141" s="312"/>
      <c r="I141" s="332"/>
      <c r="J141" s="332"/>
    </row>
    <row r="142" spans="2:10">
      <c r="C142" s="312" t="s">
        <v>404</v>
      </c>
      <c r="D142" s="312"/>
      <c r="E142" s="312"/>
      <c r="F142" s="312"/>
      <c r="G142" s="312"/>
      <c r="H142" s="312"/>
      <c r="I142" s="332"/>
      <c r="J142" s="332"/>
    </row>
    <row r="143" spans="2:10">
      <c r="C143" s="312" t="s">
        <v>405</v>
      </c>
      <c r="D143" s="312"/>
      <c r="E143" s="312"/>
      <c r="F143" s="312"/>
      <c r="G143" s="312"/>
      <c r="H143" s="312"/>
      <c r="I143" s="332"/>
      <c r="J143" s="332"/>
    </row>
    <row r="144" spans="2:10">
      <c r="C144" s="2" t="s">
        <v>406</v>
      </c>
      <c r="D144" s="2"/>
      <c r="E144" s="2"/>
      <c r="F144" s="312"/>
      <c r="G144" s="312"/>
      <c r="H144" s="312"/>
      <c r="I144" s="332"/>
      <c r="J144" s="332"/>
    </row>
    <row r="145" spans="3:10">
      <c r="C145" s="2" t="s">
        <v>407</v>
      </c>
      <c r="D145" s="2"/>
      <c r="E145" s="2"/>
      <c r="F145" s="312"/>
      <c r="G145" s="312"/>
      <c r="H145" s="312"/>
      <c r="I145" s="332"/>
      <c r="J145" s="332"/>
    </row>
    <row r="146" spans="3:10">
      <c r="C146" s="312" t="s">
        <v>408</v>
      </c>
      <c r="D146" s="312"/>
      <c r="E146" s="312"/>
      <c r="F146" s="312"/>
      <c r="G146" s="312"/>
      <c r="H146" s="312"/>
      <c r="I146" s="332"/>
      <c r="J146" s="332"/>
    </row>
    <row r="147" spans="3:10">
      <c r="C147" s="312" t="s">
        <v>409</v>
      </c>
      <c r="D147" s="312"/>
      <c r="E147" s="312"/>
      <c r="F147" s="312"/>
      <c r="G147" s="312"/>
      <c r="H147" s="312"/>
      <c r="I147" s="332"/>
      <c r="J147" s="332"/>
    </row>
    <row r="148" spans="3:10">
      <c r="C148" s="2" t="s">
        <v>410</v>
      </c>
      <c r="D148" s="2"/>
      <c r="E148" s="2"/>
      <c r="F148" s="312"/>
      <c r="G148" s="312"/>
      <c r="H148" s="312"/>
      <c r="I148" s="332"/>
      <c r="J148" s="332"/>
    </row>
    <row r="149" spans="3:10">
      <c r="C149" s="312" t="s">
        <v>411</v>
      </c>
      <c r="D149" s="312"/>
      <c r="E149" s="312"/>
      <c r="F149" s="312"/>
      <c r="G149" s="312"/>
      <c r="H149" s="312"/>
      <c r="I149" s="332"/>
      <c r="J149" s="332"/>
    </row>
    <row r="150" spans="3:10">
      <c r="C150" s="312" t="s">
        <v>412</v>
      </c>
      <c r="D150" s="312"/>
      <c r="E150" s="312"/>
      <c r="F150" s="312"/>
      <c r="G150" s="312"/>
      <c r="H150" s="312"/>
      <c r="I150" s="332"/>
      <c r="J150" s="332"/>
    </row>
    <row r="151" spans="3:10">
      <c r="C151" s="312" t="s">
        <v>413</v>
      </c>
      <c r="D151" s="312"/>
      <c r="E151" s="312"/>
      <c r="F151" s="312"/>
      <c r="G151" s="312"/>
      <c r="H151" s="312"/>
      <c r="I151" s="332"/>
      <c r="J151" s="332"/>
    </row>
    <row r="152" spans="3:10">
      <c r="C152" s="312" t="s">
        <v>414</v>
      </c>
      <c r="D152" s="312"/>
      <c r="E152" s="312"/>
      <c r="F152" s="312"/>
      <c r="G152" s="312"/>
      <c r="H152" s="312"/>
      <c r="I152" s="332"/>
      <c r="J152" s="332"/>
    </row>
    <row r="153" spans="3:10">
      <c r="C153" s="312" t="s">
        <v>415</v>
      </c>
      <c r="D153" s="312"/>
      <c r="E153" s="312"/>
      <c r="F153" s="312"/>
      <c r="G153" s="312"/>
      <c r="H153" s="312"/>
      <c r="I153" s="332"/>
      <c r="J153" s="332"/>
    </row>
    <row r="154" spans="3:10">
      <c r="C154" s="2" t="s">
        <v>416</v>
      </c>
      <c r="D154" s="2"/>
      <c r="E154" s="2"/>
      <c r="F154" s="312"/>
      <c r="G154" s="312"/>
      <c r="H154" s="312"/>
      <c r="I154" s="332"/>
      <c r="J154" s="332"/>
    </row>
    <row r="155" spans="3:10">
      <c r="C155" s="312" t="s">
        <v>417</v>
      </c>
      <c r="D155" s="312"/>
      <c r="E155" s="312"/>
      <c r="F155" s="312"/>
      <c r="G155" s="312"/>
      <c r="H155" s="312"/>
      <c r="I155" s="332"/>
      <c r="J155" s="332"/>
    </row>
    <row r="156" spans="3:10">
      <c r="C156" s="312" t="s">
        <v>418</v>
      </c>
      <c r="D156" s="312"/>
      <c r="E156" s="312"/>
      <c r="F156" s="312"/>
      <c r="G156" s="312"/>
      <c r="H156" s="312"/>
      <c r="I156" s="332"/>
      <c r="J156" s="332"/>
    </row>
    <row r="157" spans="3:10">
      <c r="C157" s="315" t="s">
        <v>419</v>
      </c>
      <c r="D157" s="315"/>
      <c r="E157" s="315"/>
      <c r="F157" s="315"/>
      <c r="G157" s="315"/>
      <c r="H157" s="315"/>
      <c r="I157" s="332"/>
      <c r="J157" s="332"/>
    </row>
    <row r="158" spans="3:10">
      <c r="C158" s="315" t="s">
        <v>420</v>
      </c>
      <c r="D158" s="315"/>
      <c r="E158" s="315"/>
      <c r="F158" s="315"/>
      <c r="G158" s="315"/>
      <c r="H158" s="315"/>
      <c r="I158" s="332"/>
      <c r="J158" s="332"/>
    </row>
    <row r="159" spans="3:10">
      <c r="C159" s="315" t="s">
        <v>421</v>
      </c>
      <c r="D159" s="315"/>
      <c r="E159" s="315"/>
      <c r="F159" s="315"/>
      <c r="G159" s="315"/>
      <c r="H159" s="315"/>
      <c r="I159" s="332"/>
      <c r="J159" s="332"/>
    </row>
    <row r="160" spans="3:10">
      <c r="C160" s="312" t="s">
        <v>422</v>
      </c>
      <c r="D160" s="312"/>
      <c r="E160" s="312"/>
      <c r="F160" s="312"/>
      <c r="G160" s="312"/>
      <c r="H160" s="312"/>
      <c r="I160" s="332"/>
      <c r="J160" s="332"/>
    </row>
    <row r="161" spans="3:10">
      <c r="C161" s="312" t="s">
        <v>423</v>
      </c>
      <c r="D161" s="312"/>
      <c r="E161" s="312"/>
      <c r="F161" s="312"/>
      <c r="G161" s="312"/>
      <c r="H161" s="312"/>
      <c r="I161" s="332"/>
      <c r="J161" s="332"/>
    </row>
    <row r="162" spans="3:10">
      <c r="C162" s="2" t="s">
        <v>424</v>
      </c>
      <c r="D162" s="2"/>
      <c r="E162" s="2"/>
      <c r="F162" s="312"/>
      <c r="G162" s="312"/>
      <c r="H162" s="312"/>
      <c r="I162" s="332"/>
      <c r="J162" s="332"/>
    </row>
    <row r="163" spans="3:10">
      <c r="C163" s="312" t="s">
        <v>425</v>
      </c>
      <c r="D163" s="312"/>
      <c r="E163" s="312"/>
      <c r="F163" s="312"/>
      <c r="G163" s="312"/>
      <c r="H163" s="312"/>
      <c r="I163" s="332"/>
      <c r="J163" s="332"/>
    </row>
    <row r="164" spans="3:10">
      <c r="C164" s="312" t="s">
        <v>426</v>
      </c>
      <c r="D164" s="312"/>
      <c r="E164" s="312"/>
      <c r="F164" s="312"/>
      <c r="G164" s="312"/>
      <c r="H164" s="312"/>
      <c r="I164" s="332"/>
      <c r="J164" s="332"/>
    </row>
    <row r="165" spans="3:10">
      <c r="C165" s="315" t="s">
        <v>427</v>
      </c>
      <c r="D165" s="315"/>
      <c r="E165" s="315"/>
      <c r="F165" s="315"/>
      <c r="G165" s="315"/>
      <c r="H165" s="315"/>
      <c r="I165" s="332"/>
      <c r="J165" s="332"/>
    </row>
    <row r="166" spans="3:10">
      <c r="C166" s="315" t="s">
        <v>428</v>
      </c>
      <c r="D166" s="315"/>
      <c r="E166" s="315"/>
      <c r="F166" s="315"/>
      <c r="G166" s="315"/>
      <c r="H166" s="315"/>
      <c r="I166" s="332"/>
      <c r="J166" s="332"/>
    </row>
    <row r="167" spans="3:10">
      <c r="C167" s="312" t="s">
        <v>429</v>
      </c>
      <c r="D167" s="312"/>
      <c r="E167" s="312"/>
      <c r="F167" s="312"/>
      <c r="G167" s="312"/>
      <c r="H167" s="312"/>
      <c r="I167" s="332"/>
      <c r="J167" s="332"/>
    </row>
    <row r="168" spans="3:10">
      <c r="C168" s="315" t="s">
        <v>427</v>
      </c>
      <c r="D168" s="315"/>
      <c r="E168" s="315"/>
      <c r="F168" s="315"/>
      <c r="G168" s="315"/>
      <c r="H168" s="315"/>
      <c r="I168" s="332"/>
      <c r="J168" s="332"/>
    </row>
    <row r="169" spans="3:10">
      <c r="C169" s="315" t="s">
        <v>428</v>
      </c>
      <c r="D169" s="315"/>
      <c r="E169" s="315"/>
      <c r="F169" s="315"/>
      <c r="G169" s="315"/>
      <c r="H169" s="315"/>
      <c r="I169" s="332"/>
      <c r="J169" s="332"/>
    </row>
    <row r="170" spans="3:10">
      <c r="C170" s="312" t="s">
        <v>430</v>
      </c>
      <c r="D170" s="312"/>
      <c r="E170" s="312"/>
      <c r="F170" s="312"/>
      <c r="G170" s="312"/>
      <c r="H170" s="312"/>
      <c r="I170" s="332"/>
      <c r="J170" s="332"/>
    </row>
    <row r="171" spans="3:10">
      <c r="C171" s="315" t="s">
        <v>427</v>
      </c>
      <c r="D171" s="315"/>
      <c r="E171" s="315"/>
      <c r="F171" s="315"/>
      <c r="G171" s="315"/>
      <c r="H171" s="315"/>
      <c r="I171" s="332"/>
      <c r="J171" s="332"/>
    </row>
    <row r="172" spans="3:10">
      <c r="C172" s="315" t="s">
        <v>428</v>
      </c>
      <c r="D172" s="315"/>
      <c r="E172" s="315"/>
      <c r="F172" s="315"/>
      <c r="G172" s="315"/>
      <c r="H172" s="315"/>
      <c r="I172" s="332"/>
      <c r="J172" s="332"/>
    </row>
    <row r="173" spans="3:10">
      <c r="C173" s="312" t="s">
        <v>431</v>
      </c>
      <c r="D173" s="312"/>
      <c r="E173" s="312"/>
      <c r="F173" s="312"/>
      <c r="G173" s="312"/>
      <c r="H173" s="312"/>
      <c r="I173" s="332"/>
      <c r="J173" s="332"/>
    </row>
    <row r="174" spans="3:10">
      <c r="C174" s="315" t="s">
        <v>432</v>
      </c>
      <c r="D174" s="315"/>
      <c r="E174" s="315"/>
      <c r="F174" s="315"/>
      <c r="G174" s="315"/>
      <c r="H174" s="315"/>
      <c r="I174" s="332"/>
      <c r="J174" s="332"/>
    </row>
    <row r="175" spans="3:10">
      <c r="C175" s="315" t="s">
        <v>433</v>
      </c>
      <c r="D175" s="315"/>
      <c r="E175" s="315"/>
      <c r="F175" s="315"/>
      <c r="G175" s="315"/>
      <c r="H175" s="315"/>
      <c r="I175" s="332"/>
      <c r="J175" s="332"/>
    </row>
    <row r="176" spans="3:10">
      <c r="C176" s="315" t="s">
        <v>434</v>
      </c>
      <c r="D176" s="315"/>
      <c r="E176" s="315"/>
      <c r="F176" s="315"/>
      <c r="G176" s="315"/>
      <c r="H176" s="315"/>
      <c r="I176" s="332"/>
      <c r="J176" s="332"/>
    </row>
    <row r="177" spans="3:10">
      <c r="C177" s="315" t="s">
        <v>435</v>
      </c>
      <c r="D177" s="315"/>
      <c r="E177" s="315"/>
      <c r="F177" s="315"/>
      <c r="G177" s="315"/>
      <c r="H177" s="315"/>
      <c r="I177" s="332"/>
      <c r="J177" s="332"/>
    </row>
    <row r="178" spans="3:10">
      <c r="C178" s="310" t="s">
        <v>422</v>
      </c>
      <c r="D178" s="310"/>
      <c r="E178" s="310"/>
      <c r="F178" s="312"/>
      <c r="G178" s="312"/>
      <c r="H178" s="312"/>
      <c r="I178" s="332"/>
      <c r="J178" s="332"/>
    </row>
    <row r="179" spans="3:10">
      <c r="C179" s="312" t="s">
        <v>436</v>
      </c>
      <c r="D179" s="312"/>
      <c r="E179" s="312"/>
      <c r="F179" s="312"/>
      <c r="G179" s="312"/>
      <c r="H179" s="312"/>
      <c r="I179" s="332"/>
      <c r="J179" s="332"/>
    </row>
    <row r="180" spans="3:10">
      <c r="C180" s="312" t="s">
        <v>437</v>
      </c>
      <c r="D180" s="312"/>
      <c r="E180" s="312"/>
      <c r="F180" s="312"/>
      <c r="G180" s="312"/>
      <c r="H180" s="312"/>
      <c r="I180" s="332"/>
      <c r="J180" s="332"/>
    </row>
    <row r="181" spans="3:10">
      <c r="C181" s="312" t="s">
        <v>438</v>
      </c>
      <c r="D181" s="312"/>
      <c r="E181" s="312"/>
      <c r="F181" s="312"/>
      <c r="G181" s="312"/>
      <c r="H181" s="312"/>
      <c r="I181" s="332"/>
      <c r="J181" s="332"/>
    </row>
    <row r="182" spans="3:10">
      <c r="C182" s="312" t="s">
        <v>439</v>
      </c>
      <c r="D182" s="312"/>
      <c r="E182" s="312"/>
      <c r="F182" s="312"/>
      <c r="G182" s="312"/>
      <c r="H182" s="312"/>
      <c r="I182" s="332"/>
      <c r="J182" s="332"/>
    </row>
    <row r="183" spans="3:10">
      <c r="C183" s="310" t="s">
        <v>440</v>
      </c>
      <c r="D183" s="310"/>
      <c r="E183" s="310"/>
      <c r="F183" s="312"/>
      <c r="G183" s="312"/>
      <c r="H183" s="312"/>
      <c r="I183" s="332"/>
      <c r="J183" s="332"/>
    </row>
    <row r="184" spans="3:10">
      <c r="C184" s="310" t="s">
        <v>441</v>
      </c>
      <c r="D184" s="310"/>
      <c r="E184" s="310"/>
      <c r="F184" s="312"/>
      <c r="G184" s="312"/>
      <c r="H184" s="312"/>
      <c r="I184" s="332"/>
      <c r="J184" s="332"/>
    </row>
    <row r="185" spans="3:10">
      <c r="C185" s="310" t="s">
        <v>442</v>
      </c>
      <c r="D185" s="310"/>
      <c r="E185" s="310"/>
      <c r="F185" s="312"/>
      <c r="G185" s="312"/>
      <c r="H185" s="312"/>
      <c r="I185" s="332"/>
      <c r="J185" s="332"/>
    </row>
    <row r="186" spans="3:10">
      <c r="C186" s="310" t="s">
        <v>443</v>
      </c>
      <c r="D186" s="310"/>
      <c r="E186" s="310"/>
      <c r="F186" s="312"/>
      <c r="G186" s="312"/>
      <c r="H186" s="312"/>
      <c r="I186" s="332"/>
      <c r="J186" s="332"/>
    </row>
    <row r="187" spans="3:10">
      <c r="C187" s="310" t="s">
        <v>444</v>
      </c>
      <c r="D187" s="310"/>
      <c r="E187" s="310"/>
      <c r="F187" s="312"/>
      <c r="G187" s="312"/>
      <c r="H187" s="312"/>
      <c r="I187" s="332"/>
      <c r="J187" s="332"/>
    </row>
    <row r="188" spans="3:10">
      <c r="C188" s="312" t="s">
        <v>445</v>
      </c>
      <c r="D188" s="312"/>
      <c r="E188" s="312"/>
      <c r="F188" s="312"/>
      <c r="G188" s="312"/>
      <c r="H188" s="312"/>
      <c r="I188" s="332"/>
      <c r="J188" s="332"/>
    </row>
    <row r="189" spans="3:10">
      <c r="C189" s="315" t="s">
        <v>446</v>
      </c>
      <c r="D189" s="315"/>
      <c r="E189" s="315"/>
      <c r="F189" s="315"/>
      <c r="G189" s="315"/>
      <c r="H189" s="315"/>
      <c r="I189" s="332"/>
      <c r="J189" s="332"/>
    </row>
    <row r="190" spans="3:10">
      <c r="C190" s="315" t="s">
        <v>447</v>
      </c>
      <c r="D190" s="315"/>
      <c r="E190" s="315"/>
      <c r="F190" s="315"/>
      <c r="G190" s="315"/>
      <c r="H190" s="315"/>
      <c r="I190" s="332"/>
      <c r="J190" s="332"/>
    </row>
    <row r="191" spans="3:10">
      <c r="C191" s="315" t="s">
        <v>448</v>
      </c>
      <c r="D191" s="315"/>
      <c r="E191" s="315"/>
      <c r="F191" s="315"/>
      <c r="G191" s="315"/>
      <c r="H191" s="315"/>
      <c r="I191" s="332"/>
      <c r="J191" s="332"/>
    </row>
    <row r="192" spans="3:10">
      <c r="C192" s="312" t="s">
        <v>449</v>
      </c>
      <c r="D192" s="312"/>
      <c r="E192" s="312"/>
      <c r="F192" s="312"/>
      <c r="G192" s="312"/>
      <c r="H192" s="312"/>
      <c r="I192" s="332"/>
      <c r="J192" s="332"/>
    </row>
    <row r="193" spans="2:10">
      <c r="C193" s="312" t="s">
        <v>450</v>
      </c>
      <c r="D193" s="312"/>
      <c r="E193" s="312"/>
      <c r="F193" s="312"/>
      <c r="G193" s="312"/>
      <c r="H193" s="312"/>
      <c r="I193" s="332"/>
      <c r="J193" s="332"/>
    </row>
    <row r="194" spans="2:10">
      <c r="C194" s="315" t="s">
        <v>451</v>
      </c>
      <c r="D194" s="315"/>
      <c r="E194" s="315"/>
      <c r="F194" s="315"/>
      <c r="G194" s="315"/>
      <c r="H194" s="315"/>
      <c r="I194" s="332"/>
      <c r="J194" s="332"/>
    </row>
    <row r="195" spans="2:10">
      <c r="C195" s="315" t="s">
        <v>452</v>
      </c>
      <c r="D195" s="315"/>
      <c r="E195" s="315"/>
      <c r="F195" s="315"/>
      <c r="G195" s="315"/>
      <c r="H195" s="315"/>
      <c r="I195" s="332"/>
      <c r="J195" s="332"/>
    </row>
    <row r="196" spans="2:10">
      <c r="C196" s="350" t="s">
        <v>529</v>
      </c>
      <c r="D196" s="2"/>
      <c r="E196" s="2"/>
      <c r="F196" s="312"/>
      <c r="G196" s="312"/>
      <c r="H196" s="312"/>
      <c r="I196" s="364" t="s">
        <v>610</v>
      </c>
      <c r="J196" s="364" t="s">
        <v>610</v>
      </c>
    </row>
    <row r="197" spans="2:10">
      <c r="C197" s="2"/>
      <c r="D197" s="2"/>
      <c r="E197" s="2"/>
      <c r="F197" s="312"/>
      <c r="G197" s="312"/>
      <c r="H197" s="312"/>
      <c r="I197" s="331"/>
      <c r="J197" s="331"/>
    </row>
    <row r="198" spans="2:10">
      <c r="B198" s="12" t="s">
        <v>518</v>
      </c>
      <c r="C198" s="2"/>
      <c r="D198" s="2"/>
      <c r="E198" s="2"/>
      <c r="F198" s="312"/>
      <c r="G198" s="312"/>
      <c r="H198" s="312"/>
      <c r="I198" s="332"/>
      <c r="J198" s="332"/>
    </row>
    <row r="199" spans="2:10">
      <c r="B199" s="301"/>
      <c r="C199" s="2"/>
      <c r="D199" s="2"/>
      <c r="E199" s="2"/>
      <c r="F199" s="312"/>
      <c r="G199" s="312"/>
      <c r="H199" s="312"/>
      <c r="I199" s="331"/>
      <c r="J199" s="331"/>
    </row>
    <row r="200" spans="2:10">
      <c r="B200" s="308" t="s">
        <v>453</v>
      </c>
      <c r="C200" s="308"/>
      <c r="D200" s="308"/>
      <c r="E200" s="308"/>
      <c r="F200" s="313"/>
      <c r="G200" s="313"/>
      <c r="H200" s="313"/>
      <c r="I200" s="364" t="s">
        <v>610</v>
      </c>
      <c r="J200" s="364" t="s">
        <v>610</v>
      </c>
    </row>
    <row r="201" spans="2:10">
      <c r="C201" s="12" t="s">
        <v>454</v>
      </c>
      <c r="D201" s="12"/>
      <c r="E201" s="12"/>
      <c r="F201" s="313"/>
      <c r="G201" s="313"/>
      <c r="H201" s="313"/>
      <c r="I201" s="332"/>
      <c r="J201" s="332"/>
    </row>
    <row r="202" spans="2:10">
      <c r="C202" s="2"/>
      <c r="D202" s="2"/>
      <c r="E202" s="2"/>
      <c r="F202" s="312"/>
      <c r="G202" s="312"/>
      <c r="H202" s="312"/>
      <c r="I202" s="331"/>
      <c r="J202" s="331"/>
    </row>
    <row r="203" spans="2:10">
      <c r="B203" s="12" t="s">
        <v>455</v>
      </c>
      <c r="C203" s="2"/>
      <c r="D203" s="2"/>
      <c r="E203" s="2"/>
      <c r="F203" s="312"/>
      <c r="G203" s="312"/>
      <c r="H203" s="312"/>
      <c r="I203" s="332"/>
      <c r="J203" s="332"/>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c r="J206" s="332"/>
    </row>
    <row r="207" spans="2:10">
      <c r="C207" s="2" t="s">
        <v>458</v>
      </c>
      <c r="D207" s="2"/>
      <c r="E207" s="2"/>
      <c r="F207" s="312"/>
      <c r="G207" s="312"/>
      <c r="H207" s="312"/>
      <c r="I207" s="332"/>
      <c r="J207" s="332"/>
    </row>
    <row r="208" spans="2:10">
      <c r="C208" s="312" t="s">
        <v>459</v>
      </c>
      <c r="D208" s="312"/>
      <c r="E208" s="312"/>
      <c r="F208" s="312"/>
      <c r="G208" s="312"/>
      <c r="H208" s="312"/>
      <c r="I208" s="332"/>
      <c r="J208" s="332"/>
    </row>
    <row r="209" spans="2:10">
      <c r="C209" s="312" t="s">
        <v>460</v>
      </c>
      <c r="D209" s="312"/>
      <c r="E209" s="312"/>
      <c r="F209" s="312"/>
      <c r="G209" s="312"/>
      <c r="H209" s="312"/>
      <c r="I209" s="332"/>
      <c r="J209" s="332"/>
    </row>
    <row r="210" spans="2:10">
      <c r="C210" s="312" t="s">
        <v>461</v>
      </c>
      <c r="D210" s="312"/>
      <c r="E210" s="312"/>
      <c r="F210" s="312"/>
      <c r="G210" s="312"/>
      <c r="H210" s="312"/>
      <c r="I210" s="332"/>
      <c r="J210" s="332"/>
    </row>
    <row r="211" spans="2:10">
      <c r="C211" s="315" t="s">
        <v>462</v>
      </c>
      <c r="D211" s="315"/>
      <c r="E211" s="315"/>
      <c r="F211" s="315"/>
      <c r="G211" s="315"/>
      <c r="H211" s="315"/>
      <c r="I211" s="332"/>
      <c r="J211" s="332"/>
    </row>
    <row r="212" spans="2:10">
      <c r="C212" s="315" t="s">
        <v>463</v>
      </c>
      <c r="D212" s="315"/>
      <c r="E212" s="315"/>
      <c r="F212" s="315"/>
      <c r="G212" s="315"/>
      <c r="H212" s="315"/>
      <c r="I212" s="332"/>
      <c r="J212" s="332"/>
    </row>
    <row r="213" spans="2:10">
      <c r="C213" s="315" t="s">
        <v>464</v>
      </c>
      <c r="D213" s="315"/>
      <c r="E213" s="315"/>
      <c r="F213" s="315"/>
      <c r="G213" s="315"/>
      <c r="H213" s="315"/>
      <c r="I213" s="332"/>
      <c r="J213" s="332"/>
    </row>
    <row r="214" spans="2:10">
      <c r="C214" s="315" t="s">
        <v>465</v>
      </c>
      <c r="D214" s="315"/>
      <c r="E214" s="315"/>
      <c r="F214" s="315"/>
      <c r="G214" s="315"/>
      <c r="H214" s="315"/>
      <c r="I214" s="332"/>
      <c r="J214" s="332"/>
    </row>
    <row r="215" spans="2:10">
      <c r="C215" s="315" t="s">
        <v>390</v>
      </c>
      <c r="D215" s="315"/>
      <c r="E215" s="315"/>
      <c r="F215" s="315"/>
      <c r="G215" s="315"/>
      <c r="H215" s="315"/>
      <c r="I215" s="332"/>
      <c r="J215" s="332"/>
    </row>
    <row r="216" spans="2:10">
      <c r="B216" s="312" t="s">
        <v>513</v>
      </c>
      <c r="C216" s="312" t="s">
        <v>466</v>
      </c>
      <c r="D216" s="312"/>
      <c r="E216" s="312"/>
      <c r="F216" s="312"/>
      <c r="G216" s="312"/>
      <c r="H216" s="312"/>
      <c r="I216" s="332"/>
      <c r="J216" s="332"/>
    </row>
    <row r="217" spans="2:10">
      <c r="C217" s="2" t="s">
        <v>345</v>
      </c>
      <c r="D217" s="2"/>
      <c r="E217" s="2"/>
      <c r="F217" s="312"/>
      <c r="G217" s="312"/>
      <c r="H217" s="312"/>
      <c r="I217" s="331"/>
      <c r="J217" s="331"/>
    </row>
    <row r="218" spans="2:10">
      <c r="C218" s="312" t="s">
        <v>467</v>
      </c>
      <c r="D218" s="312"/>
      <c r="E218" s="312"/>
      <c r="F218" s="312"/>
      <c r="G218" s="312"/>
      <c r="H218" s="312"/>
      <c r="I218" s="332"/>
      <c r="J218" s="332"/>
    </row>
    <row r="219" spans="2:10">
      <c r="C219" s="312" t="s">
        <v>468</v>
      </c>
      <c r="D219" s="312"/>
      <c r="E219" s="312"/>
      <c r="F219" s="312"/>
      <c r="G219" s="312"/>
      <c r="H219" s="312"/>
      <c r="I219" s="332"/>
      <c r="J219" s="332"/>
    </row>
    <row r="220" spans="2:10">
      <c r="C220" s="312" t="s">
        <v>469</v>
      </c>
      <c r="D220" s="312"/>
      <c r="E220" s="312"/>
      <c r="F220" s="312"/>
      <c r="G220" s="312"/>
      <c r="H220" s="312"/>
      <c r="I220" s="332"/>
      <c r="J220" s="332"/>
    </row>
    <row r="221" spans="2:10">
      <c r="C221" s="312" t="s">
        <v>470</v>
      </c>
      <c r="D221" s="312"/>
      <c r="E221" s="312"/>
      <c r="F221" s="312"/>
      <c r="G221" s="312"/>
      <c r="H221" s="312"/>
      <c r="I221" s="332"/>
      <c r="J221" s="332"/>
    </row>
    <row r="222" spans="2:10">
      <c r="C222" s="312" t="s">
        <v>116</v>
      </c>
      <c r="D222" s="312"/>
      <c r="E222" s="312"/>
      <c r="F222" s="312"/>
      <c r="G222" s="312"/>
      <c r="H222" s="312"/>
      <c r="I222" s="332"/>
      <c r="J222" s="332"/>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v>39813</v>
      </c>
      <c r="J225" s="364">
        <v>39813</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c r="J229" s="332"/>
    </row>
    <row r="230" spans="2:10">
      <c r="C230" s="312" t="s">
        <v>476</v>
      </c>
      <c r="D230" s="312"/>
      <c r="E230" s="312"/>
      <c r="F230" s="312"/>
      <c r="G230" s="312"/>
      <c r="H230" s="312"/>
      <c r="I230" s="332"/>
      <c r="J230" s="332"/>
    </row>
    <row r="231" spans="2:10">
      <c r="C231" s="312" t="s">
        <v>477</v>
      </c>
      <c r="D231" s="312"/>
      <c r="E231" s="312"/>
      <c r="F231" s="312"/>
      <c r="G231" s="312"/>
      <c r="H231" s="312"/>
      <c r="I231" s="332"/>
      <c r="J231" s="332"/>
    </row>
    <row r="232" spans="2:10">
      <c r="C232" s="350" t="s">
        <v>530</v>
      </c>
      <c r="D232" s="312"/>
      <c r="E232" s="312"/>
      <c r="F232" s="312"/>
      <c r="G232" s="312"/>
      <c r="H232" s="312"/>
      <c r="I232" s="364" t="s">
        <v>610</v>
      </c>
      <c r="J232" s="364" t="s">
        <v>610</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v>39813</v>
      </c>
      <c r="J235" s="364">
        <v>39813</v>
      </c>
    </row>
    <row r="236" spans="2:10">
      <c r="C236" s="308" t="s">
        <v>480</v>
      </c>
      <c r="D236" s="2"/>
      <c r="E236" s="2"/>
      <c r="F236" s="312"/>
      <c r="G236" s="312"/>
      <c r="H236" s="312"/>
      <c r="I236" s="332"/>
      <c r="J236" s="332"/>
    </row>
    <row r="237" spans="2:10">
      <c r="C237" s="2" t="s">
        <v>481</v>
      </c>
      <c r="D237" s="2"/>
      <c r="E237" s="2"/>
      <c r="F237" s="312"/>
      <c r="G237" s="312"/>
      <c r="H237" s="312"/>
      <c r="I237" s="364" t="s">
        <v>610</v>
      </c>
      <c r="J237" s="364" t="s">
        <v>610</v>
      </c>
    </row>
    <row r="238" spans="2:10">
      <c r="C238" s="2" t="s">
        <v>482</v>
      </c>
      <c r="D238" s="2"/>
      <c r="E238" s="2"/>
      <c r="F238" s="312"/>
      <c r="G238" s="312"/>
      <c r="H238" s="312"/>
      <c r="I238" s="332"/>
      <c r="J238" s="332"/>
    </row>
    <row r="239" spans="2:10">
      <c r="C239" s="2" t="s">
        <v>483</v>
      </c>
      <c r="D239" s="2"/>
      <c r="E239" s="2"/>
      <c r="F239" s="312"/>
      <c r="G239" s="312"/>
      <c r="H239" s="312"/>
      <c r="I239" s="332"/>
      <c r="J239" s="332"/>
    </row>
    <row r="240" spans="2:10">
      <c r="C240" s="2" t="s">
        <v>484</v>
      </c>
      <c r="D240" s="2"/>
      <c r="E240" s="2"/>
      <c r="F240" s="312"/>
      <c r="G240" s="312"/>
      <c r="H240" s="312"/>
      <c r="I240" s="332"/>
      <c r="J240" s="332"/>
    </row>
    <row r="241" spans="2:10">
      <c r="C241" s="2" t="s">
        <v>485</v>
      </c>
      <c r="D241" s="2"/>
      <c r="E241" s="2"/>
      <c r="F241" s="312"/>
      <c r="G241" s="312"/>
      <c r="H241" s="312"/>
      <c r="I241" s="331"/>
      <c r="J241" s="331"/>
    </row>
    <row r="242" spans="2:10">
      <c r="C242" s="312" t="s">
        <v>486</v>
      </c>
      <c r="D242" s="312"/>
      <c r="E242" s="312"/>
      <c r="F242" s="312"/>
      <c r="G242" s="312"/>
      <c r="H242" s="312"/>
      <c r="I242" s="332"/>
      <c r="J242" s="332"/>
    </row>
    <row r="243" spans="2:10">
      <c r="C243" s="315" t="s">
        <v>487</v>
      </c>
      <c r="D243" s="315"/>
      <c r="E243" s="315"/>
      <c r="F243" s="315"/>
      <c r="G243" s="315"/>
      <c r="H243" s="315"/>
      <c r="I243" s="332"/>
      <c r="J243" s="332"/>
    </row>
    <row r="244" spans="2:10">
      <c r="C244" s="312" t="s">
        <v>486</v>
      </c>
      <c r="D244" s="312"/>
      <c r="E244" s="312"/>
      <c r="F244" s="312"/>
      <c r="G244" s="312"/>
      <c r="H244" s="312"/>
      <c r="I244" s="332"/>
      <c r="J244" s="332"/>
    </row>
    <row r="245" spans="2:10">
      <c r="C245" s="315" t="s">
        <v>488</v>
      </c>
      <c r="D245" s="315"/>
      <c r="E245" s="315"/>
      <c r="F245" s="315"/>
      <c r="G245" s="315"/>
      <c r="H245" s="315"/>
      <c r="I245" s="332"/>
      <c r="J245" s="332"/>
    </row>
    <row r="246" spans="2:10">
      <c r="C246" s="312" t="s">
        <v>486</v>
      </c>
      <c r="D246" s="312"/>
      <c r="E246" s="312"/>
      <c r="F246" s="312"/>
      <c r="G246" s="312"/>
      <c r="H246" s="312"/>
      <c r="I246" s="332"/>
      <c r="J246" s="332"/>
    </row>
    <row r="247" spans="2:10">
      <c r="C247" s="315" t="s">
        <v>488</v>
      </c>
      <c r="D247" s="315"/>
      <c r="E247" s="315"/>
      <c r="F247" s="315"/>
      <c r="G247" s="315"/>
      <c r="H247" s="315"/>
      <c r="I247" s="332"/>
      <c r="J247" s="332"/>
    </row>
    <row r="248" spans="2:10">
      <c r="C248" s="312" t="s">
        <v>486</v>
      </c>
      <c r="D248" s="312"/>
      <c r="E248" s="312"/>
      <c r="F248" s="312"/>
      <c r="G248" s="312"/>
      <c r="H248" s="312"/>
      <c r="I248" s="332"/>
      <c r="J248" s="332"/>
    </row>
    <row r="249" spans="2:10">
      <c r="C249" s="315" t="s">
        <v>488</v>
      </c>
      <c r="D249" s="315"/>
      <c r="E249" s="315"/>
      <c r="F249" s="315"/>
      <c r="G249" s="315"/>
      <c r="H249" s="315"/>
      <c r="I249" s="332"/>
      <c r="J249" s="332"/>
    </row>
    <row r="250" spans="2:10">
      <c r="C250" s="312" t="s">
        <v>486</v>
      </c>
      <c r="D250" s="312"/>
      <c r="E250" s="312"/>
      <c r="F250" s="312"/>
      <c r="G250" s="312"/>
      <c r="H250" s="312"/>
      <c r="I250" s="332"/>
      <c r="J250" s="332"/>
    </row>
    <row r="251" spans="2:10">
      <c r="C251" s="315" t="s">
        <v>488</v>
      </c>
      <c r="D251" s="315"/>
      <c r="E251" s="315"/>
      <c r="F251" s="315"/>
      <c r="G251" s="315"/>
      <c r="H251" s="315"/>
      <c r="I251" s="332"/>
      <c r="J251" s="332"/>
    </row>
    <row r="252" spans="2:10">
      <c r="C252" s="312" t="s">
        <v>486</v>
      </c>
      <c r="D252" s="312"/>
      <c r="E252" s="312"/>
      <c r="F252" s="312"/>
      <c r="G252" s="312"/>
      <c r="H252" s="312"/>
      <c r="I252" s="332"/>
      <c r="J252" s="332"/>
    </row>
    <row r="253" spans="2:10">
      <c r="B253" s="315" t="s">
        <v>489</v>
      </c>
      <c r="C253" s="315" t="s">
        <v>489</v>
      </c>
      <c r="D253" s="315"/>
      <c r="E253" s="315"/>
      <c r="F253" s="315"/>
      <c r="G253" s="315"/>
      <c r="H253" s="315"/>
      <c r="I253" s="332"/>
      <c r="J253" s="332"/>
    </row>
    <row r="254" spans="2:10">
      <c r="C254" s="308" t="s">
        <v>539</v>
      </c>
      <c r="D254" s="2"/>
      <c r="E254" s="2"/>
      <c r="F254" s="312"/>
      <c r="G254" s="312"/>
      <c r="H254" s="312"/>
      <c r="I254" s="364">
        <v>40422</v>
      </c>
      <c r="J254" s="364">
        <v>40422</v>
      </c>
    </row>
    <row r="255" spans="2:10">
      <c r="C255" s="308" t="s">
        <v>490</v>
      </c>
      <c r="D255" s="2"/>
      <c r="E255" s="2"/>
      <c r="F255" s="312"/>
      <c r="G255" s="312"/>
      <c r="H255" s="312"/>
      <c r="I255" s="364" t="s">
        <v>610</v>
      </c>
      <c r="J255" s="364" t="s">
        <v>610</v>
      </c>
    </row>
    <row r="256" spans="2:10">
      <c r="C256" s="2" t="s">
        <v>491</v>
      </c>
      <c r="D256" s="2"/>
      <c r="E256" s="2"/>
      <c r="F256" s="312"/>
      <c r="G256" s="312"/>
      <c r="H256" s="312"/>
      <c r="I256" s="329"/>
      <c r="J256" s="329"/>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c r="J260" s="332"/>
    </row>
    <row r="261" spans="2:10">
      <c r="B261" s="312" t="s">
        <v>495</v>
      </c>
      <c r="C261" s="312" t="s">
        <v>495</v>
      </c>
      <c r="D261" s="312"/>
      <c r="E261" s="312"/>
      <c r="F261" s="312"/>
      <c r="G261" s="312"/>
      <c r="H261" s="312"/>
      <c r="I261" s="332"/>
      <c r="J261" s="332"/>
    </row>
    <row r="262" spans="2:10">
      <c r="B262" s="312" t="s">
        <v>496</v>
      </c>
      <c r="C262" s="312" t="s">
        <v>496</v>
      </c>
      <c r="D262" s="312"/>
      <c r="E262" s="312"/>
      <c r="F262" s="312"/>
      <c r="G262" s="312"/>
      <c r="H262" s="312"/>
      <c r="I262" s="332"/>
      <c r="J262" s="332"/>
    </row>
    <row r="263" spans="2:10">
      <c r="B263" s="312" t="s">
        <v>497</v>
      </c>
      <c r="C263" s="312" t="s">
        <v>497</v>
      </c>
      <c r="D263" s="312"/>
      <c r="E263" s="312"/>
      <c r="F263" s="312"/>
      <c r="G263" s="312"/>
      <c r="H263" s="312"/>
      <c r="I263" s="332"/>
      <c r="J263" s="332"/>
    </row>
    <row r="264" spans="2:10">
      <c r="B264" s="312" t="s">
        <v>498</v>
      </c>
      <c r="C264" s="312" t="s">
        <v>498</v>
      </c>
      <c r="D264" s="312"/>
      <c r="E264" s="312"/>
      <c r="F264" s="312"/>
      <c r="G264" s="312"/>
      <c r="H264" s="312"/>
      <c r="I264" s="332"/>
      <c r="J264" s="332"/>
    </row>
    <row r="265" spans="2:10">
      <c r="B265" s="312" t="s">
        <v>499</v>
      </c>
      <c r="C265" s="312" t="s">
        <v>499</v>
      </c>
      <c r="D265" s="312"/>
      <c r="E265" s="312"/>
      <c r="F265" s="312"/>
      <c r="G265" s="312"/>
      <c r="H265" s="312"/>
      <c r="I265" s="332"/>
      <c r="J265" s="332"/>
    </row>
    <row r="266" spans="2:10">
      <c r="C266" s="2" t="s">
        <v>500</v>
      </c>
      <c r="D266" s="2"/>
      <c r="E266" s="2"/>
      <c r="F266" s="312"/>
      <c r="G266" s="312"/>
      <c r="H266" s="312"/>
      <c r="I266" s="331"/>
      <c r="J266" s="331"/>
    </row>
    <row r="267" spans="2:10">
      <c r="C267" s="312" t="s">
        <v>494</v>
      </c>
      <c r="D267" s="312"/>
      <c r="E267" s="312"/>
      <c r="F267" s="312"/>
      <c r="G267" s="312"/>
      <c r="H267" s="312"/>
      <c r="I267" s="332"/>
      <c r="J267" s="332"/>
    </row>
    <row r="268" spans="2:10">
      <c r="C268" s="312" t="s">
        <v>495</v>
      </c>
      <c r="D268" s="312"/>
      <c r="E268" s="312"/>
      <c r="F268" s="312"/>
      <c r="G268" s="312"/>
      <c r="H268" s="312"/>
      <c r="I268" s="332"/>
      <c r="J268" s="332"/>
    </row>
    <row r="269" spans="2:10">
      <c r="C269" s="312" t="s">
        <v>496</v>
      </c>
      <c r="D269" s="312"/>
      <c r="E269" s="312"/>
      <c r="F269" s="312"/>
      <c r="G269" s="312"/>
      <c r="H269" s="312"/>
      <c r="I269" s="332"/>
      <c r="J269" s="332"/>
    </row>
    <row r="270" spans="2:10">
      <c r="C270" s="312" t="s">
        <v>497</v>
      </c>
      <c r="D270" s="312"/>
      <c r="E270" s="312"/>
      <c r="F270" s="312"/>
      <c r="G270" s="312"/>
      <c r="H270" s="312"/>
      <c r="I270" s="332"/>
      <c r="J270" s="332"/>
    </row>
    <row r="271" spans="2:10">
      <c r="C271" s="312" t="s">
        <v>498</v>
      </c>
      <c r="D271" s="312"/>
      <c r="E271" s="312"/>
      <c r="F271" s="312"/>
      <c r="G271" s="312"/>
      <c r="H271" s="312"/>
      <c r="I271" s="332"/>
      <c r="J271" s="332"/>
    </row>
    <row r="272" spans="2:10">
      <c r="C272" s="312" t="s">
        <v>499</v>
      </c>
      <c r="D272" s="312"/>
      <c r="E272" s="312"/>
      <c r="F272" s="312"/>
      <c r="G272" s="312"/>
      <c r="H272" s="312"/>
      <c r="I272" s="332"/>
      <c r="J272" s="332"/>
    </row>
    <row r="273" spans="2:10">
      <c r="C273" s="308" t="s">
        <v>541</v>
      </c>
      <c r="D273" s="2"/>
      <c r="E273" s="2"/>
      <c r="F273" s="312"/>
      <c r="G273" s="312"/>
      <c r="H273" s="312"/>
      <c r="I273" s="364" t="s">
        <v>610</v>
      </c>
      <c r="J273" s="364" t="s">
        <v>610</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754</v>
      </c>
      <c r="J276" s="364" t="s">
        <v>754</v>
      </c>
    </row>
    <row r="277" spans="2:10">
      <c r="C277" s="2" t="s">
        <v>503</v>
      </c>
      <c r="D277" s="2"/>
      <c r="E277" s="2"/>
      <c r="F277" s="312"/>
      <c r="G277" s="312"/>
      <c r="H277" s="312"/>
      <c r="I277" s="331"/>
      <c r="J277" s="331"/>
    </row>
    <row r="278" spans="2:10">
      <c r="C278" s="312" t="s">
        <v>342</v>
      </c>
      <c r="D278" s="312"/>
      <c r="E278" s="312"/>
      <c r="F278" s="312"/>
      <c r="G278" s="312"/>
      <c r="H278" s="312"/>
      <c r="I278" s="332"/>
      <c r="J278" s="332"/>
    </row>
    <row r="279" spans="2:10">
      <c r="C279" s="312" t="s">
        <v>504</v>
      </c>
      <c r="D279" s="312"/>
      <c r="E279" s="312"/>
      <c r="F279" s="312"/>
      <c r="G279" s="312"/>
      <c r="H279" s="312"/>
      <c r="I279" s="332"/>
      <c r="J279" s="332"/>
    </row>
    <row r="280" spans="2:10">
      <c r="C280" s="312" t="s">
        <v>385</v>
      </c>
      <c r="D280" s="312"/>
      <c r="E280" s="312"/>
      <c r="F280" s="312"/>
      <c r="G280" s="312"/>
      <c r="H280" s="312"/>
      <c r="I280" s="332"/>
      <c r="J280" s="332"/>
    </row>
    <row r="281" spans="2:10">
      <c r="C281" s="312" t="s">
        <v>505</v>
      </c>
      <c r="D281" s="312"/>
      <c r="E281" s="312"/>
      <c r="F281" s="312"/>
      <c r="G281" s="312"/>
      <c r="H281" s="312"/>
      <c r="I281" s="332"/>
      <c r="J281" s="332"/>
    </row>
    <row r="282" spans="2:10">
      <c r="C282" s="312" t="s">
        <v>506</v>
      </c>
      <c r="D282" s="312"/>
      <c r="E282" s="312"/>
      <c r="F282" s="312"/>
      <c r="G282" s="312"/>
      <c r="H282" s="312"/>
      <c r="I282" s="332"/>
      <c r="J282" s="332"/>
    </row>
    <row r="283" spans="2:10">
      <c r="C283" s="312" t="s">
        <v>409</v>
      </c>
      <c r="D283" s="312"/>
      <c r="E283" s="312"/>
      <c r="F283" s="312"/>
      <c r="G283" s="312"/>
      <c r="H283" s="312"/>
      <c r="I283" s="331"/>
      <c r="J283" s="331"/>
    </row>
    <row r="284" spans="2:10">
      <c r="C284" s="315" t="s">
        <v>507</v>
      </c>
      <c r="D284" s="315"/>
      <c r="E284" s="315"/>
      <c r="F284" s="315"/>
      <c r="G284" s="315"/>
      <c r="H284" s="315"/>
      <c r="I284" s="332"/>
      <c r="J284" s="332"/>
    </row>
    <row r="285" spans="2:10">
      <c r="C285" s="315" t="s">
        <v>508</v>
      </c>
      <c r="D285" s="315"/>
      <c r="E285" s="315"/>
      <c r="F285" s="315"/>
      <c r="G285" s="315"/>
      <c r="H285" s="315"/>
      <c r="I285" s="332"/>
      <c r="J285" s="332"/>
    </row>
    <row r="286" spans="2:10">
      <c r="C286" s="315" t="s">
        <v>509</v>
      </c>
      <c r="D286" s="315"/>
      <c r="E286" s="315"/>
      <c r="F286" s="315"/>
      <c r="G286" s="315"/>
      <c r="H286" s="315"/>
      <c r="I286" s="332"/>
      <c r="J286" s="332"/>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754</v>
      </c>
      <c r="J289" s="364" t="s">
        <v>754</v>
      </c>
    </row>
    <row r="290" spans="3:15">
      <c r="C290" s="308" t="s">
        <v>511</v>
      </c>
      <c r="D290" s="2"/>
      <c r="E290" s="2"/>
      <c r="F290" s="311"/>
      <c r="G290" s="311"/>
      <c r="H290" s="311"/>
      <c r="I290" s="364" t="s">
        <v>754</v>
      </c>
      <c r="J290" s="364" t="s">
        <v>754</v>
      </c>
    </row>
    <row r="291" spans="3:15">
      <c r="C291" s="2"/>
      <c r="D291" s="2"/>
      <c r="E291" s="2"/>
      <c r="F291" s="2"/>
      <c r="G291" s="2"/>
      <c r="H291" s="2"/>
      <c r="I291" s="2"/>
      <c r="J291" s="7"/>
      <c r="K291" s="2"/>
      <c r="L291" s="2"/>
      <c r="M291" s="301"/>
      <c r="N291" s="2"/>
      <c r="O291" s="301"/>
    </row>
  </sheetData>
  <sheetProtection selectLockedCells="1"/>
  <mergeCells count="109">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39:D39"/>
    <mergeCell ref="H39:M39"/>
    <mergeCell ref="C40:D40"/>
    <mergeCell ref="H40:M40"/>
    <mergeCell ref="C41:D41"/>
    <mergeCell ref="H41:M41"/>
    <mergeCell ref="C24:D24"/>
    <mergeCell ref="F24:G24"/>
    <mergeCell ref="K24:M24"/>
    <mergeCell ref="C27:M34"/>
    <mergeCell ref="H37:M37"/>
    <mergeCell ref="C38:D38"/>
    <mergeCell ref="H38:M38"/>
    <mergeCell ref="C45:D45"/>
    <mergeCell ref="H45:M45"/>
    <mergeCell ref="C46:D46"/>
    <mergeCell ref="H46:M46"/>
    <mergeCell ref="C47:D47"/>
    <mergeCell ref="H47:M47"/>
    <mergeCell ref="C42:D42"/>
    <mergeCell ref="H42:M42"/>
    <mergeCell ref="C43:D43"/>
    <mergeCell ref="H43:M43"/>
    <mergeCell ref="C44:D44"/>
    <mergeCell ref="H44:M44"/>
    <mergeCell ref="C51:D51"/>
    <mergeCell ref="H51:M51"/>
    <mergeCell ref="C52:D52"/>
    <mergeCell ref="H52:M52"/>
    <mergeCell ref="C53:D53"/>
    <mergeCell ref="H53:M53"/>
    <mergeCell ref="C48:D48"/>
    <mergeCell ref="H48:M48"/>
    <mergeCell ref="C49:D49"/>
    <mergeCell ref="H49:M49"/>
    <mergeCell ref="C50:D50"/>
    <mergeCell ref="H50:M50"/>
    <mergeCell ref="I65:J65"/>
    <mergeCell ref="C57:D57"/>
    <mergeCell ref="H57:M57"/>
    <mergeCell ref="C58:D58"/>
    <mergeCell ref="H58:M58"/>
    <mergeCell ref="I63:J63"/>
    <mergeCell ref="I64:J64"/>
    <mergeCell ref="C54:D54"/>
    <mergeCell ref="H54:M54"/>
    <mergeCell ref="C55:D55"/>
    <mergeCell ref="H55:M55"/>
    <mergeCell ref="C56:D56"/>
    <mergeCell ref="H56:M56"/>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71">
    <tabColor rgb="FF00B0F0"/>
  </sheetPr>
  <dimension ref="B1:U291"/>
  <sheetViews>
    <sheetView workbookViewId="0">
      <selection activeCell="L12" sqref="L12:M12"/>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Detail!A44</f>
        <v>Menomonee River Valley</v>
      </c>
      <c r="D2" s="341"/>
      <c r="E2" s="341"/>
      <c r="F2" s="120"/>
      <c r="G2" s="120"/>
      <c r="H2" s="120"/>
      <c r="I2" s="120"/>
      <c r="J2" s="120"/>
      <c r="K2" s="120"/>
      <c r="L2" s="120"/>
      <c r="M2" s="121"/>
      <c r="N2" s="319"/>
    </row>
    <row r="3" spans="2:21" s="122" customFormat="1" ht="20.25" customHeight="1" thickBot="1">
      <c r="B3" s="319"/>
      <c r="C3" s="136" t="str">
        <f>Detail!B44</f>
        <v>D Lyon</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Detail!V44</f>
        <v>Family</v>
      </c>
      <c r="G6" s="836"/>
      <c r="H6" s="357"/>
      <c r="I6" s="833" t="s">
        <v>219</v>
      </c>
      <c r="J6" s="834"/>
      <c r="K6" s="834"/>
      <c r="L6" s="837" t="str">
        <f>Detail!I44</f>
        <v>LIHTC - 9%</v>
      </c>
      <c r="M6" s="838"/>
      <c r="N6" s="318"/>
    </row>
    <row r="7" spans="2:21" ht="17.25" customHeight="1">
      <c r="B7" s="318"/>
      <c r="C7" s="796" t="s">
        <v>214</v>
      </c>
      <c r="D7" s="797"/>
      <c r="E7" s="352"/>
      <c r="F7" s="819" t="str">
        <f>Detail!C44</f>
        <v>Milwaukee</v>
      </c>
      <c r="G7" s="820"/>
      <c r="H7" s="357"/>
      <c r="I7" s="796" t="s">
        <v>183</v>
      </c>
      <c r="J7" s="797"/>
      <c r="K7" s="797"/>
      <c r="L7" s="830" t="str">
        <f>Detail!J44</f>
        <v>TBD</v>
      </c>
      <c r="M7" s="831"/>
      <c r="N7" s="318"/>
    </row>
    <row r="8" spans="2:21">
      <c r="B8" s="318"/>
      <c r="C8" s="796" t="s">
        <v>9</v>
      </c>
      <c r="D8" s="797"/>
      <c r="E8" s="352"/>
      <c r="F8" s="819" t="str">
        <f>Detail!D44</f>
        <v>New Construction</v>
      </c>
      <c r="G8" s="820"/>
      <c r="H8" s="357"/>
      <c r="I8" s="796" t="s">
        <v>184</v>
      </c>
      <c r="J8" s="797"/>
      <c r="K8" s="797"/>
      <c r="L8" s="830" t="str">
        <f>Detail!K44</f>
        <v>TBD</v>
      </c>
      <c r="M8" s="831"/>
      <c r="N8" s="318"/>
    </row>
    <row r="9" spans="2:21">
      <c r="B9" s="318"/>
      <c r="C9" s="796" t="s">
        <v>215</v>
      </c>
      <c r="D9" s="797"/>
      <c r="E9" s="353"/>
      <c r="F9" s="832">
        <f>Detail!T44</f>
        <v>60</v>
      </c>
      <c r="G9" s="820"/>
      <c r="H9" s="357"/>
      <c r="I9" s="796" t="s">
        <v>185</v>
      </c>
      <c r="J9" s="797"/>
      <c r="K9" s="797"/>
      <c r="L9" s="830" t="str">
        <f>Detail!L44</f>
        <v>TBD</v>
      </c>
      <c r="M9" s="831"/>
      <c r="N9" s="318"/>
    </row>
    <row r="10" spans="2:21" ht="17.25" customHeight="1">
      <c r="B10" s="318"/>
      <c r="C10" s="796" t="s">
        <v>216</v>
      </c>
      <c r="D10" s="797"/>
      <c r="E10" s="352"/>
      <c r="F10" s="819" t="str">
        <f>Detail!V44</f>
        <v>Family</v>
      </c>
      <c r="G10" s="820"/>
      <c r="H10" s="357"/>
      <c r="I10" s="796" t="s">
        <v>44</v>
      </c>
      <c r="J10" s="797"/>
      <c r="K10" s="797"/>
      <c r="L10" s="800" t="str">
        <f>Detail!AB44</f>
        <v>TBD</v>
      </c>
      <c r="M10" s="801"/>
      <c r="N10" s="318"/>
    </row>
    <row r="11" spans="2:21" ht="17.25" customHeight="1">
      <c r="B11" s="318"/>
      <c r="C11" s="361"/>
      <c r="D11" s="362"/>
      <c r="E11" s="352"/>
      <c r="F11" s="819" t="str">
        <f>Detail!W44</f>
        <v>Workforce</v>
      </c>
      <c r="G11" s="820"/>
      <c r="H11" s="357"/>
      <c r="I11" s="796" t="s">
        <v>602</v>
      </c>
      <c r="J11" s="797"/>
      <c r="K11" s="530"/>
      <c r="L11" s="828" t="str">
        <f>Detail!AG44</f>
        <v>TBD</v>
      </c>
      <c r="M11" s="829"/>
      <c r="N11" s="318"/>
    </row>
    <row r="12" spans="2:21">
      <c r="B12" s="318"/>
      <c r="C12" s="361"/>
      <c r="D12" s="362"/>
      <c r="E12" s="352"/>
      <c r="F12" s="819" t="str">
        <f>Detail!X44</f>
        <v>N/A</v>
      </c>
      <c r="G12" s="820"/>
      <c r="H12" s="357"/>
      <c r="I12" s="796" t="s">
        <v>603</v>
      </c>
      <c r="J12" s="797"/>
      <c r="K12" s="797"/>
      <c r="L12" s="828" t="str">
        <f>Detail!N44</f>
        <v>TBD</v>
      </c>
      <c r="M12" s="829"/>
      <c r="N12" s="318"/>
    </row>
    <row r="13" spans="2:21" ht="17.25" customHeight="1">
      <c r="B13" s="318"/>
      <c r="C13" s="796" t="s">
        <v>525</v>
      </c>
      <c r="D13" s="797"/>
      <c r="E13" s="354"/>
      <c r="F13" s="827" t="str">
        <f>Detail!AM44</f>
        <v>MHMG</v>
      </c>
      <c r="G13" s="820"/>
      <c r="H13" s="357"/>
      <c r="I13" s="796" t="s">
        <v>256</v>
      </c>
      <c r="J13" s="797"/>
      <c r="K13" s="797"/>
      <c r="L13" s="800" t="str">
        <f>Detail!AC44</f>
        <v>TBD</v>
      </c>
      <c r="M13" s="801"/>
      <c r="N13" s="318"/>
    </row>
    <row r="14" spans="2:21" ht="35.25" customHeight="1">
      <c r="B14" s="318"/>
      <c r="C14" s="796" t="s">
        <v>172</v>
      </c>
      <c r="D14" s="797"/>
      <c r="E14" s="352"/>
      <c r="F14" s="819" t="str">
        <f>Detail!Z44</f>
        <v>Service Coordination</v>
      </c>
      <c r="G14" s="820"/>
      <c r="H14" s="357"/>
      <c r="I14" s="796" t="s">
        <v>257</v>
      </c>
      <c r="J14" s="797"/>
      <c r="K14" s="797"/>
      <c r="L14" s="800" t="str">
        <f>Detail!AF44</f>
        <v>TBD</v>
      </c>
      <c r="M14" s="801"/>
      <c r="N14" s="318"/>
    </row>
    <row r="15" spans="2:21" ht="17.25" customHeight="1" thickBot="1">
      <c r="B15" s="318"/>
      <c r="C15" s="796" t="s">
        <v>217</v>
      </c>
      <c r="D15" s="797"/>
      <c r="E15" s="355"/>
      <c r="F15" s="819" t="str">
        <f>Detail!AA44</f>
        <v>TBD</v>
      </c>
      <c r="G15" s="820"/>
      <c r="H15" s="357"/>
      <c r="I15" s="821" t="s">
        <v>255</v>
      </c>
      <c r="J15" s="822"/>
      <c r="K15" s="822"/>
      <c r="L15" s="823" t="str">
        <f>Detail!AD44</f>
        <v>TBD</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t="str">
        <f>Detail!AH44</f>
        <v>TBD</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t="str">
        <f>Detail!AJ44</f>
        <v>TBD</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t="str">
        <f>Detail!AI44</f>
        <v>TBD</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6" thickTop="1">
      <c r="B21" s="320"/>
      <c r="C21" s="804" t="s">
        <v>46</v>
      </c>
      <c r="D21" s="805"/>
      <c r="E21" s="349"/>
      <c r="F21" s="806" t="str">
        <f>Detail!F44</f>
        <v>Prospect</v>
      </c>
      <c r="G21" s="807"/>
      <c r="H21" s="359"/>
      <c r="I21" s="804" t="s">
        <v>226</v>
      </c>
      <c r="J21" s="805"/>
      <c r="K21" s="805"/>
      <c r="L21" s="808">
        <f>Detail!Q44</f>
        <v>0</v>
      </c>
      <c r="M21" s="809"/>
      <c r="N21" s="320"/>
    </row>
    <row r="22" spans="2:21" s="88" customFormat="1" ht="17.25" customHeight="1">
      <c r="B22" s="320"/>
      <c r="C22" s="796" t="s">
        <v>223</v>
      </c>
      <c r="D22" s="797"/>
      <c r="E22" s="348"/>
      <c r="F22" s="798">
        <f>Detail!P44</f>
        <v>41974</v>
      </c>
      <c r="G22" s="799"/>
      <c r="H22" s="359"/>
      <c r="I22" s="796" t="s">
        <v>227</v>
      </c>
      <c r="J22" s="797"/>
      <c r="K22" s="797"/>
      <c r="L22" s="800">
        <f>Detail!AO44+Detail!AP44+Detail!AQ44+Detail!AR44</f>
        <v>0</v>
      </c>
      <c r="M22" s="801"/>
      <c r="N22" s="320"/>
    </row>
    <row r="23" spans="2:21" s="88" customFormat="1" ht="17.25" customHeight="1">
      <c r="B23" s="320"/>
      <c r="C23" s="796" t="s">
        <v>224</v>
      </c>
      <c r="D23" s="797"/>
      <c r="E23" s="348"/>
      <c r="F23" s="798">
        <f>Detail!R44</f>
        <v>41974</v>
      </c>
      <c r="G23" s="799"/>
      <c r="H23" s="359"/>
      <c r="I23" s="796" t="s">
        <v>228</v>
      </c>
      <c r="J23" s="797"/>
      <c r="K23" s="797"/>
      <c r="L23" s="800">
        <f>Detail!BG44</f>
        <v>0</v>
      </c>
      <c r="M23" s="801"/>
      <c r="N23" s="320"/>
    </row>
    <row r="24" spans="2:21" s="88" customFormat="1" ht="17.25" customHeight="1" thickBot="1">
      <c r="B24" s="320"/>
      <c r="C24" s="778" t="s">
        <v>225</v>
      </c>
      <c r="D24" s="779"/>
      <c r="E24" s="533"/>
      <c r="F24" s="780">
        <f>Detail!S44</f>
        <v>42401</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Menomonee River Valley</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c r="B38" s="322"/>
      <c r="C38" s="792" t="s">
        <v>514</v>
      </c>
      <c r="D38" s="793"/>
      <c r="E38" s="344"/>
      <c r="F38" s="368" t="str">
        <f>I92</f>
        <v>TBD</v>
      </c>
      <c r="G38" s="368" t="str">
        <f>J92</f>
        <v>TBD</v>
      </c>
      <c r="H38" s="794"/>
      <c r="I38" s="794"/>
      <c r="J38" s="794"/>
      <c r="K38" s="794"/>
      <c r="L38" s="794"/>
      <c r="M38" s="795"/>
      <c r="N38" s="322"/>
    </row>
    <row r="39" spans="2:19" s="300" customFormat="1" ht="12.75" customHeight="1">
      <c r="B39" s="322"/>
      <c r="C39" s="774" t="s">
        <v>516</v>
      </c>
      <c r="D39" s="775"/>
      <c r="E39" s="532"/>
      <c r="F39" s="368" t="str">
        <f>I94</f>
        <v>TBD</v>
      </c>
      <c r="G39" s="369" t="str">
        <f>J94</f>
        <v>TBD</v>
      </c>
      <c r="H39" s="772"/>
      <c r="I39" s="772"/>
      <c r="J39" s="772"/>
      <c r="K39" s="772"/>
      <c r="L39" s="772"/>
      <c r="M39" s="773"/>
      <c r="N39" s="322"/>
    </row>
    <row r="40" spans="2:19" s="300" customFormat="1">
      <c r="B40" s="322"/>
      <c r="C40" s="774" t="s">
        <v>344</v>
      </c>
      <c r="D40" s="775"/>
      <c r="E40" s="532"/>
      <c r="F40" s="368" t="str">
        <f>I96</f>
        <v>TBD</v>
      </c>
      <c r="G40" s="368" t="str">
        <f>J96</f>
        <v>TBD</v>
      </c>
      <c r="H40" s="772"/>
      <c r="I40" s="772"/>
      <c r="J40" s="772"/>
      <c r="K40" s="772"/>
      <c r="L40" s="772"/>
      <c r="M40" s="773"/>
      <c r="N40" s="322"/>
    </row>
    <row r="41" spans="2:19" s="300" customFormat="1" ht="12.75" customHeight="1">
      <c r="B41" s="322"/>
      <c r="C41" s="774" t="s">
        <v>535</v>
      </c>
      <c r="D41" s="775"/>
      <c r="E41" s="532"/>
      <c r="F41" s="368" t="str">
        <f>'Menomonee River Valley'!I102</f>
        <v>TBD</v>
      </c>
      <c r="G41" s="368" t="str">
        <f>J102</f>
        <v>TBD</v>
      </c>
      <c r="H41" s="772"/>
      <c r="I41" s="772"/>
      <c r="J41" s="772"/>
      <c r="K41" s="772"/>
      <c r="L41" s="772"/>
      <c r="M41" s="773"/>
      <c r="N41" s="322"/>
      <c r="P41" s="358"/>
      <c r="Q41" s="358"/>
      <c r="R41" s="358"/>
      <c r="S41" s="358"/>
    </row>
    <row r="42" spans="2:19" s="300" customFormat="1">
      <c r="B42" s="322"/>
      <c r="C42" s="774" t="s">
        <v>536</v>
      </c>
      <c r="D42" s="775"/>
      <c r="E42" s="532"/>
      <c r="F42" s="368" t="str">
        <f>I110</f>
        <v>TBD</v>
      </c>
      <c r="G42" s="368" t="str">
        <f>J110</f>
        <v>TBD</v>
      </c>
      <c r="H42" s="772"/>
      <c r="I42" s="772"/>
      <c r="J42" s="772"/>
      <c r="K42" s="772"/>
      <c r="L42" s="772"/>
      <c r="M42" s="773"/>
      <c r="N42" s="322"/>
      <c r="P42" s="358"/>
      <c r="Q42" s="358"/>
      <c r="R42" s="358"/>
      <c r="S42" s="358"/>
    </row>
    <row r="43" spans="2:19" s="300" customFormat="1">
      <c r="B43" s="322"/>
      <c r="C43" s="774" t="s">
        <v>517</v>
      </c>
      <c r="D43" s="775"/>
      <c r="E43" s="532"/>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32"/>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32"/>
      <c r="F45" s="368" t="str">
        <f>I200</f>
        <v>TBD</v>
      </c>
      <c r="G45" s="368" t="str">
        <f>J200</f>
        <v>TBD</v>
      </c>
      <c r="H45" s="772"/>
      <c r="I45" s="772"/>
      <c r="J45" s="772"/>
      <c r="K45" s="772"/>
      <c r="L45" s="772"/>
      <c r="M45" s="773"/>
      <c r="N45" s="322"/>
    </row>
    <row r="46" spans="2:19" s="300" customFormat="1">
      <c r="B46" s="322"/>
      <c r="C46" s="774" t="s">
        <v>538</v>
      </c>
      <c r="D46" s="775"/>
      <c r="E46" s="532"/>
      <c r="F46" s="368" t="str">
        <f>I232</f>
        <v>TBD</v>
      </c>
      <c r="G46" s="368" t="str">
        <f>J232</f>
        <v>TBD</v>
      </c>
      <c r="H46" s="772"/>
      <c r="I46" s="772"/>
      <c r="J46" s="772"/>
      <c r="K46" s="772"/>
      <c r="L46" s="772"/>
      <c r="M46" s="773"/>
      <c r="N46" s="322"/>
    </row>
    <row r="47" spans="2:19" s="300" customFormat="1">
      <c r="B47" s="322"/>
      <c r="C47" s="774" t="s">
        <v>55</v>
      </c>
      <c r="D47" s="775"/>
      <c r="E47" s="532"/>
      <c r="F47" s="368">
        <f>I225</f>
        <v>42004</v>
      </c>
      <c r="G47" s="368" t="str">
        <f>J225</f>
        <v>TBD</v>
      </c>
      <c r="H47" s="772"/>
      <c r="I47" s="772"/>
      <c r="J47" s="772"/>
      <c r="K47" s="772"/>
      <c r="L47" s="772"/>
      <c r="M47" s="773"/>
      <c r="N47" s="322"/>
    </row>
    <row r="48" spans="2:19" s="300" customFormat="1">
      <c r="B48" s="322"/>
      <c r="C48" s="774" t="s">
        <v>346</v>
      </c>
      <c r="D48" s="775"/>
      <c r="E48" s="532"/>
      <c r="F48" s="368">
        <f>I235</f>
        <v>42004</v>
      </c>
      <c r="G48" s="368" t="str">
        <f>J235</f>
        <v>TBD</v>
      </c>
      <c r="H48" s="772"/>
      <c r="I48" s="772"/>
      <c r="J48" s="772"/>
      <c r="K48" s="772"/>
      <c r="L48" s="772"/>
      <c r="M48" s="773"/>
      <c r="N48" s="322"/>
    </row>
    <row r="49" spans="2:14" s="300" customFormat="1">
      <c r="B49" s="322"/>
      <c r="C49" s="774" t="s">
        <v>347</v>
      </c>
      <c r="D49" s="775"/>
      <c r="E49" s="532"/>
      <c r="F49" s="368" t="str">
        <f>I237</f>
        <v>TBD</v>
      </c>
      <c r="G49" s="368" t="str">
        <f>J237</f>
        <v>TBD</v>
      </c>
      <c r="H49" s="772"/>
      <c r="I49" s="772"/>
      <c r="J49" s="772"/>
      <c r="K49" s="772"/>
      <c r="L49" s="772"/>
      <c r="M49" s="773"/>
      <c r="N49" s="322"/>
    </row>
    <row r="50" spans="2:14" s="300" customFormat="1">
      <c r="B50" s="322"/>
      <c r="C50" s="774" t="s">
        <v>348</v>
      </c>
      <c r="D50" s="775"/>
      <c r="E50" s="532"/>
      <c r="F50" s="368" t="str">
        <f>I254</f>
        <v>TBD</v>
      </c>
      <c r="G50" s="368" t="str">
        <f>J254</f>
        <v>TBD</v>
      </c>
      <c r="H50" s="772"/>
      <c r="I50" s="772"/>
      <c r="J50" s="772"/>
      <c r="K50" s="772"/>
      <c r="L50" s="772"/>
      <c r="M50" s="773"/>
      <c r="N50" s="322"/>
    </row>
    <row r="51" spans="2:14" s="300" customFormat="1">
      <c r="B51" s="322"/>
      <c r="C51" s="774" t="s">
        <v>65</v>
      </c>
      <c r="D51" s="775"/>
      <c r="E51" s="532"/>
      <c r="F51" s="368" t="str">
        <f>I255</f>
        <v>TBD</v>
      </c>
      <c r="G51" s="368" t="str">
        <f>J255</f>
        <v>TBD</v>
      </c>
      <c r="H51" s="772"/>
      <c r="I51" s="772"/>
      <c r="J51" s="772"/>
      <c r="K51" s="772"/>
      <c r="L51" s="772"/>
      <c r="M51" s="773"/>
      <c r="N51" s="322"/>
    </row>
    <row r="52" spans="2:14" s="300" customFormat="1">
      <c r="B52" s="322"/>
      <c r="C52" s="774" t="s">
        <v>540</v>
      </c>
      <c r="D52" s="775"/>
      <c r="E52" s="532"/>
      <c r="F52" s="368" t="str">
        <f>I273</f>
        <v>TBD</v>
      </c>
      <c r="G52" s="368" t="str">
        <f>J273</f>
        <v>TBD</v>
      </c>
      <c r="H52" s="772"/>
      <c r="I52" s="772"/>
      <c r="J52" s="772"/>
      <c r="K52" s="772"/>
      <c r="L52" s="772"/>
      <c r="M52" s="773"/>
      <c r="N52" s="322"/>
    </row>
    <row r="53" spans="2:14" s="300" customFormat="1">
      <c r="B53" s="322"/>
      <c r="C53" s="774" t="s">
        <v>542</v>
      </c>
      <c r="D53" s="775"/>
      <c r="E53" s="532"/>
      <c r="F53" s="368" t="str">
        <f>I276</f>
        <v>TBD</v>
      </c>
      <c r="G53" s="368" t="str">
        <f>J276</f>
        <v>TBD</v>
      </c>
      <c r="H53" s="772"/>
      <c r="I53" s="772"/>
      <c r="J53" s="772"/>
      <c r="K53" s="772"/>
      <c r="L53" s="772"/>
      <c r="M53" s="773"/>
      <c r="N53" s="322"/>
    </row>
    <row r="54" spans="2:14" s="300" customFormat="1">
      <c r="B54" s="322"/>
      <c r="C54" s="774">
        <v>8609</v>
      </c>
      <c r="D54" s="775"/>
      <c r="E54" s="532"/>
      <c r="F54" s="368" t="str">
        <f>I289</f>
        <v>TBD</v>
      </c>
      <c r="G54" s="368" t="str">
        <f>J289</f>
        <v>TBD</v>
      </c>
      <c r="H54" s="772"/>
      <c r="I54" s="772"/>
      <c r="J54" s="772"/>
      <c r="K54" s="772"/>
      <c r="L54" s="772"/>
      <c r="M54" s="773"/>
      <c r="N54" s="322"/>
    </row>
    <row r="55" spans="2:14" s="300" customForma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531"/>
      <c r="F56" s="338"/>
      <c r="G56" s="338"/>
      <c r="H56" s="772"/>
      <c r="I56" s="772"/>
      <c r="J56" s="772"/>
      <c r="K56" s="772"/>
      <c r="L56" s="772"/>
      <c r="M56" s="773"/>
      <c r="N56" s="322"/>
    </row>
    <row r="57" spans="2:14" s="300" customFormat="1" ht="14">
      <c r="B57" s="322"/>
      <c r="C57" s="770" t="s">
        <v>522</v>
      </c>
      <c r="D57" s="771"/>
      <c r="E57" s="531"/>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Menomonee River Valley</v>
      </c>
      <c r="J63" s="769"/>
      <c r="K63" s="17"/>
      <c r="L63" s="17"/>
      <c r="M63" s="8"/>
      <c r="N63" s="17"/>
    </row>
    <row r="64" spans="2:14" ht="16" thickBot="1">
      <c r="C64" s="308" t="s">
        <v>351</v>
      </c>
      <c r="D64" s="308"/>
      <c r="E64" s="308"/>
      <c r="F64" s="308"/>
      <c r="H64" s="363"/>
      <c r="I64" s="768" t="str">
        <f>F7</f>
        <v>Milwaukee</v>
      </c>
      <c r="J64" s="769"/>
      <c r="K64" s="17"/>
      <c r="L64" s="17"/>
      <c r="M64" s="8"/>
      <c r="N64" s="17"/>
    </row>
    <row r="65" spans="2:15" ht="16" thickBot="1">
      <c r="C65" s="308" t="s">
        <v>352</v>
      </c>
      <c r="D65" s="308"/>
      <c r="E65" s="308"/>
      <c r="F65" s="308"/>
      <c r="H65" s="363"/>
      <c r="I65" s="768" t="str">
        <f>C3</f>
        <v>D Lyon</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t="s">
        <v>14</v>
      </c>
      <c r="J70" s="332" t="s">
        <v>14</v>
      </c>
    </row>
    <row r="71" spans="2:15">
      <c r="C71" s="2" t="s">
        <v>356</v>
      </c>
      <c r="D71" s="2"/>
      <c r="E71" s="2"/>
      <c r="F71" s="2"/>
      <c r="G71" s="2"/>
      <c r="H71" s="2"/>
      <c r="I71" s="332" t="s">
        <v>14</v>
      </c>
      <c r="J71" s="332" t="s">
        <v>14</v>
      </c>
    </row>
    <row r="72" spans="2:15">
      <c r="C72" s="2" t="s">
        <v>357</v>
      </c>
      <c r="D72" s="2"/>
      <c r="E72" s="2"/>
      <c r="F72" s="2"/>
      <c r="G72" s="2"/>
      <c r="H72" s="2"/>
      <c r="I72" s="332" t="s">
        <v>14</v>
      </c>
      <c r="J72" s="332" t="s">
        <v>14</v>
      </c>
    </row>
    <row r="73" spans="2:15">
      <c r="C73" s="2" t="s">
        <v>358</v>
      </c>
      <c r="D73" s="2"/>
      <c r="E73" s="2"/>
      <c r="F73" s="2"/>
      <c r="G73" s="2"/>
      <c r="H73" s="2"/>
      <c r="I73" s="332" t="s">
        <v>14</v>
      </c>
      <c r="J73" s="332" t="s">
        <v>14</v>
      </c>
    </row>
    <row r="74" spans="2:15">
      <c r="C74" s="312" t="s">
        <v>359</v>
      </c>
      <c r="D74" s="312"/>
      <c r="E74" s="312"/>
      <c r="F74" s="312"/>
      <c r="G74" s="312"/>
      <c r="H74" s="312"/>
      <c r="I74" s="332" t="s">
        <v>14</v>
      </c>
      <c r="J74" s="332" t="s">
        <v>14</v>
      </c>
    </row>
    <row r="75" spans="2:15">
      <c r="C75" s="2" t="s">
        <v>360</v>
      </c>
      <c r="D75" s="2"/>
      <c r="E75" s="2"/>
      <c r="F75" s="312"/>
      <c r="G75" s="312"/>
      <c r="H75" s="312"/>
      <c r="I75" s="332" t="s">
        <v>14</v>
      </c>
      <c r="J75" s="332" t="s">
        <v>14</v>
      </c>
    </row>
    <row r="76" spans="2:15">
      <c r="C76" s="2" t="s">
        <v>361</v>
      </c>
      <c r="D76" s="2"/>
      <c r="E76" s="2"/>
      <c r="F76" s="312"/>
      <c r="G76" s="312"/>
      <c r="H76" s="312"/>
      <c r="I76" s="332" t="s">
        <v>14</v>
      </c>
      <c r="J76" s="332" t="s">
        <v>14</v>
      </c>
    </row>
    <row r="77" spans="2:15">
      <c r="C77" s="2" t="s">
        <v>362</v>
      </c>
      <c r="D77" s="2"/>
      <c r="E77" s="2"/>
      <c r="F77" s="312"/>
      <c r="G77" s="312"/>
      <c r="H77" s="312"/>
      <c r="I77" s="534"/>
      <c r="J77" s="534"/>
    </row>
    <row r="78" spans="2:15">
      <c r="C78" s="312" t="s">
        <v>363</v>
      </c>
      <c r="D78" s="312"/>
      <c r="E78" s="312"/>
      <c r="F78" s="312"/>
      <c r="G78" s="312"/>
      <c r="H78" s="312"/>
      <c r="I78" s="332" t="s">
        <v>14</v>
      </c>
      <c r="J78" s="332" t="s">
        <v>14</v>
      </c>
    </row>
    <row r="79" spans="2:15">
      <c r="C79" s="312" t="s">
        <v>364</v>
      </c>
      <c r="D79" s="312"/>
      <c r="E79" s="312"/>
      <c r="F79" s="312"/>
      <c r="G79" s="312"/>
      <c r="H79" s="312"/>
      <c r="I79" s="332" t="s">
        <v>14</v>
      </c>
      <c r="J79" s="332" t="s">
        <v>14</v>
      </c>
    </row>
    <row r="80" spans="2:15">
      <c r="C80" s="312" t="s">
        <v>365</v>
      </c>
      <c r="D80" s="312"/>
      <c r="E80" s="312"/>
      <c r="F80" s="312"/>
      <c r="G80" s="312"/>
      <c r="H80" s="312"/>
      <c r="I80" s="332" t="s">
        <v>14</v>
      </c>
      <c r="J80" s="332" t="s">
        <v>14</v>
      </c>
    </row>
    <row r="81" spans="2:10">
      <c r="C81" s="315" t="s">
        <v>366</v>
      </c>
      <c r="D81" s="315"/>
      <c r="E81" s="315"/>
      <c r="F81" s="314"/>
      <c r="G81" s="314"/>
      <c r="H81" s="314"/>
      <c r="I81" s="332" t="s">
        <v>14</v>
      </c>
      <c r="J81" s="332" t="s">
        <v>14</v>
      </c>
    </row>
    <row r="82" spans="2:10">
      <c r="C82" s="2" t="s">
        <v>367</v>
      </c>
      <c r="D82" s="2"/>
      <c r="E82" s="2"/>
      <c r="F82" s="312"/>
      <c r="G82" s="312"/>
      <c r="H82" s="312"/>
      <c r="I82" s="534"/>
      <c r="J82" s="534"/>
    </row>
    <row r="83" spans="2:10">
      <c r="C83" s="312" t="s">
        <v>368</v>
      </c>
      <c r="D83" s="312"/>
      <c r="E83" s="312"/>
      <c r="F83" s="312"/>
      <c r="G83" s="312"/>
      <c r="H83" s="312"/>
      <c r="I83" s="332" t="s">
        <v>14</v>
      </c>
      <c r="J83" s="332" t="s">
        <v>14</v>
      </c>
    </row>
    <row r="84" spans="2:10">
      <c r="C84" s="312" t="s">
        <v>369</v>
      </c>
      <c r="D84" s="312"/>
      <c r="E84" s="312"/>
      <c r="F84" s="312"/>
      <c r="G84" s="312"/>
      <c r="H84" s="312"/>
      <c r="I84" s="332" t="s">
        <v>14</v>
      </c>
      <c r="J84" s="332" t="s">
        <v>14</v>
      </c>
    </row>
    <row r="85" spans="2:10">
      <c r="C85" s="312" t="s">
        <v>370</v>
      </c>
      <c r="D85" s="312"/>
      <c r="E85" s="312"/>
      <c r="F85" s="312"/>
      <c r="G85" s="312"/>
      <c r="H85" s="312"/>
      <c r="I85" s="332" t="s">
        <v>14</v>
      </c>
      <c r="J85" s="332" t="s">
        <v>14</v>
      </c>
    </row>
    <row r="86" spans="2:10">
      <c r="C86" s="2" t="s">
        <v>371</v>
      </c>
      <c r="D86" s="2"/>
      <c r="E86" s="2"/>
      <c r="F86" s="312"/>
      <c r="G86" s="312"/>
      <c r="H86" s="312"/>
      <c r="I86" s="332" t="s">
        <v>14</v>
      </c>
      <c r="J86" s="332" t="s">
        <v>14</v>
      </c>
    </row>
    <row r="87" spans="2:10">
      <c r="C87" s="2" t="s">
        <v>372</v>
      </c>
      <c r="D87" s="2"/>
      <c r="E87" s="2"/>
      <c r="F87" s="312"/>
      <c r="G87" s="312"/>
      <c r="H87" s="312"/>
      <c r="I87" s="332" t="s">
        <v>14</v>
      </c>
      <c r="J87" s="332" t="s">
        <v>14</v>
      </c>
    </row>
    <row r="88" spans="2:10">
      <c r="C88" s="2" t="s">
        <v>373</v>
      </c>
      <c r="D88" s="2"/>
      <c r="E88" s="2"/>
      <c r="F88" s="312"/>
      <c r="G88" s="312"/>
      <c r="H88" s="312"/>
      <c r="I88" s="332" t="s">
        <v>14</v>
      </c>
      <c r="J88" s="332" t="s">
        <v>14</v>
      </c>
    </row>
    <row r="89" spans="2:10">
      <c r="C89" s="2" t="s">
        <v>374</v>
      </c>
      <c r="D89" s="2"/>
      <c r="E89" s="2"/>
      <c r="F89" s="312"/>
      <c r="G89" s="312"/>
      <c r="H89" s="312"/>
      <c r="I89" s="332" t="s">
        <v>14</v>
      </c>
      <c r="J89" s="332" t="s">
        <v>14</v>
      </c>
    </row>
    <row r="90" spans="2:10">
      <c r="C90" s="2" t="s">
        <v>375</v>
      </c>
      <c r="D90" s="2"/>
      <c r="E90" s="2"/>
      <c r="F90" s="312"/>
      <c r="G90" s="312"/>
      <c r="H90" s="312"/>
      <c r="I90" s="332" t="s">
        <v>14</v>
      </c>
      <c r="J90" s="332" t="s">
        <v>14</v>
      </c>
    </row>
    <row r="91" spans="2:10">
      <c r="C91" s="2" t="s">
        <v>376</v>
      </c>
      <c r="D91" s="2"/>
      <c r="E91" s="2"/>
      <c r="F91" s="312"/>
      <c r="G91" s="312"/>
      <c r="H91" s="312"/>
      <c r="I91" s="332" t="s">
        <v>14</v>
      </c>
      <c r="J91" s="332" t="s">
        <v>14</v>
      </c>
    </row>
    <row r="92" spans="2:10">
      <c r="C92" s="308" t="s">
        <v>377</v>
      </c>
      <c r="D92" s="308"/>
      <c r="E92" s="308"/>
      <c r="F92" s="312"/>
      <c r="G92" s="312"/>
      <c r="H92" s="312"/>
      <c r="I92" s="364" t="s">
        <v>14</v>
      </c>
      <c r="J92" s="364" t="s">
        <v>14</v>
      </c>
    </row>
    <row r="93" spans="2:10">
      <c r="C93" s="2"/>
      <c r="D93" s="2"/>
      <c r="E93" s="2"/>
      <c r="F93" s="312"/>
      <c r="G93" s="312"/>
      <c r="H93" s="312"/>
      <c r="I93" s="331"/>
      <c r="J93" s="331"/>
    </row>
    <row r="94" spans="2:10">
      <c r="B94" s="309" t="s">
        <v>378</v>
      </c>
      <c r="C94" s="308"/>
      <c r="D94" s="308"/>
      <c r="E94" s="308"/>
      <c r="F94" s="313"/>
      <c r="G94" s="313"/>
      <c r="H94" s="313"/>
      <c r="I94" s="364" t="s">
        <v>14</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14</v>
      </c>
      <c r="J99" s="332" t="s">
        <v>14</v>
      </c>
    </row>
    <row r="100" spans="2:10">
      <c r="C100" s="2" t="s">
        <v>381</v>
      </c>
      <c r="D100" s="2"/>
      <c r="E100" s="2"/>
      <c r="F100" s="312"/>
      <c r="G100" s="312"/>
      <c r="H100" s="312"/>
      <c r="I100" s="332" t="s">
        <v>14</v>
      </c>
      <c r="J100" s="332" t="s">
        <v>14</v>
      </c>
    </row>
    <row r="101" spans="2:10">
      <c r="C101" s="2" t="s">
        <v>382</v>
      </c>
      <c r="D101" s="2"/>
      <c r="E101" s="2"/>
      <c r="F101" s="312"/>
      <c r="G101" s="312"/>
      <c r="H101" s="312"/>
      <c r="I101" s="332" t="s">
        <v>14</v>
      </c>
      <c r="J101" s="332" t="s">
        <v>14</v>
      </c>
    </row>
    <row r="102" spans="2:10">
      <c r="C102" s="308" t="s">
        <v>534</v>
      </c>
      <c r="D102" s="2"/>
      <c r="E102" s="2"/>
      <c r="F102" s="312"/>
      <c r="G102" s="312"/>
      <c r="H102" s="312"/>
      <c r="I102" s="364" t="s">
        <v>14</v>
      </c>
      <c r="J102" s="364" t="s">
        <v>14</v>
      </c>
    </row>
    <row r="103" spans="2:10">
      <c r="C103" s="2" t="s">
        <v>524</v>
      </c>
      <c r="D103" s="2"/>
      <c r="E103" s="2"/>
      <c r="F103" s="312"/>
      <c r="G103" s="312"/>
      <c r="H103" s="312"/>
      <c r="I103" s="332" t="s">
        <v>14</v>
      </c>
      <c r="J103" s="332" t="s">
        <v>14</v>
      </c>
    </row>
    <row r="104" spans="2:10">
      <c r="C104" s="2" t="s">
        <v>383</v>
      </c>
      <c r="D104" s="2"/>
      <c r="E104" s="2"/>
      <c r="F104" s="312"/>
      <c r="G104" s="312"/>
      <c r="H104" s="312"/>
      <c r="I104" s="332" t="s">
        <v>14</v>
      </c>
      <c r="J104" s="332" t="s">
        <v>14</v>
      </c>
    </row>
    <row r="105" spans="2:10">
      <c r="C105" s="2" t="s">
        <v>384</v>
      </c>
      <c r="D105" s="2"/>
      <c r="E105" s="2"/>
      <c r="F105" s="312"/>
      <c r="G105" s="312"/>
      <c r="H105" s="312"/>
      <c r="I105" s="332" t="s">
        <v>14</v>
      </c>
      <c r="J105" s="332" t="s">
        <v>14</v>
      </c>
    </row>
    <row r="106" spans="2:10">
      <c r="C106" s="2" t="s">
        <v>544</v>
      </c>
      <c r="D106" s="2"/>
      <c r="E106" s="2"/>
      <c r="F106" s="312"/>
      <c r="G106" s="312"/>
      <c r="H106" s="312"/>
      <c r="I106" s="332" t="s">
        <v>14</v>
      </c>
      <c r="J106" s="332" t="s">
        <v>14</v>
      </c>
    </row>
    <row r="107" spans="2:10">
      <c r="C107" s="2" t="s">
        <v>385</v>
      </c>
      <c r="D107" s="2"/>
      <c r="E107" s="2"/>
      <c r="F107" s="312"/>
      <c r="G107" s="312"/>
      <c r="H107" s="312"/>
      <c r="I107" s="332" t="s">
        <v>14</v>
      </c>
      <c r="J107" s="332" t="s">
        <v>14</v>
      </c>
    </row>
    <row r="108" spans="2:10">
      <c r="C108" s="2" t="s">
        <v>386</v>
      </c>
      <c r="D108" s="2"/>
      <c r="E108" s="2"/>
      <c r="F108" s="312"/>
      <c r="G108" s="312"/>
      <c r="H108" s="312"/>
      <c r="I108" s="332" t="s">
        <v>14</v>
      </c>
      <c r="J108" s="332" t="s">
        <v>14</v>
      </c>
    </row>
    <row r="109" spans="2:10">
      <c r="C109" s="2" t="s">
        <v>523</v>
      </c>
      <c r="D109" s="2"/>
      <c r="E109" s="2"/>
      <c r="F109" s="312"/>
      <c r="G109" s="312"/>
      <c r="H109" s="312"/>
      <c r="I109" s="332" t="s">
        <v>14</v>
      </c>
      <c r="J109" s="332" t="s">
        <v>14</v>
      </c>
    </row>
    <row r="110" spans="2:10">
      <c r="C110" s="308" t="s">
        <v>526</v>
      </c>
      <c r="D110" s="2"/>
      <c r="E110" s="2"/>
      <c r="F110" s="312"/>
      <c r="G110" s="312"/>
      <c r="H110" s="312"/>
      <c r="I110" s="364" t="s">
        <v>14</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t="s">
        <v>14</v>
      </c>
      <c r="J115" s="332" t="s">
        <v>14</v>
      </c>
    </row>
    <row r="116" spans="3:10">
      <c r="C116" s="315" t="s">
        <v>342</v>
      </c>
      <c r="D116" s="315"/>
      <c r="E116" s="315"/>
      <c r="F116" s="315"/>
      <c r="G116" s="315"/>
      <c r="H116" s="315"/>
      <c r="I116" s="332" t="s">
        <v>14</v>
      </c>
      <c r="J116" s="332" t="s">
        <v>14</v>
      </c>
    </row>
    <row r="117" spans="3:10">
      <c r="C117" s="315" t="s">
        <v>390</v>
      </c>
      <c r="D117" s="315"/>
      <c r="E117" s="315"/>
      <c r="F117" s="315"/>
      <c r="G117" s="315"/>
      <c r="H117" s="315"/>
      <c r="I117" s="332" t="s">
        <v>14</v>
      </c>
      <c r="J117" s="332" t="s">
        <v>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t="s">
        <v>14</v>
      </c>
      <c r="J120" s="332" t="s">
        <v>14</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534"/>
      <c r="J123" s="534"/>
    </row>
    <row r="124" spans="3:10">
      <c r="C124" s="315" t="s">
        <v>392</v>
      </c>
      <c r="D124" s="315"/>
      <c r="E124" s="315"/>
      <c r="F124" s="315"/>
      <c r="G124" s="315"/>
      <c r="H124" s="315"/>
      <c r="I124" s="332" t="s">
        <v>14</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534"/>
      <c r="J128" s="534"/>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t="s">
        <v>14</v>
      </c>
      <c r="J134" s="332" t="s">
        <v>14</v>
      </c>
    </row>
    <row r="135" spans="2:10">
      <c r="C135" s="2" t="s">
        <v>398</v>
      </c>
      <c r="D135" s="2"/>
      <c r="E135" s="2"/>
      <c r="F135" s="312"/>
      <c r="G135" s="312"/>
      <c r="H135" s="312"/>
      <c r="I135" s="332" t="s">
        <v>14</v>
      </c>
      <c r="J135" s="332" t="s">
        <v>14</v>
      </c>
    </row>
    <row r="136" spans="2:10">
      <c r="C136" s="2" t="s">
        <v>399</v>
      </c>
      <c r="D136" s="2"/>
      <c r="E136" s="2"/>
      <c r="F136" s="312"/>
      <c r="G136" s="312"/>
      <c r="H136" s="312"/>
      <c r="I136" s="332" t="s">
        <v>14</v>
      </c>
      <c r="J136" s="332" t="s">
        <v>14</v>
      </c>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332" t="s">
        <v>14</v>
      </c>
      <c r="J139" s="332" t="s">
        <v>14</v>
      </c>
    </row>
    <row r="140" spans="2:10">
      <c r="C140" s="2" t="s">
        <v>402</v>
      </c>
      <c r="D140" s="2"/>
      <c r="E140" s="2"/>
      <c r="F140" s="312"/>
      <c r="G140" s="312"/>
      <c r="H140" s="312"/>
      <c r="I140" s="332" t="s">
        <v>14</v>
      </c>
      <c r="J140" s="332" t="s">
        <v>14</v>
      </c>
    </row>
    <row r="141" spans="2:10">
      <c r="C141" s="312" t="s">
        <v>403</v>
      </c>
      <c r="D141" s="312"/>
      <c r="E141" s="312"/>
      <c r="F141" s="312"/>
      <c r="G141" s="312"/>
      <c r="H141" s="312"/>
      <c r="I141" s="332" t="s">
        <v>14</v>
      </c>
      <c r="J141" s="332" t="s">
        <v>14</v>
      </c>
    </row>
    <row r="142" spans="2:10">
      <c r="C142" s="312" t="s">
        <v>404</v>
      </c>
      <c r="D142" s="312"/>
      <c r="E142" s="312"/>
      <c r="F142" s="312"/>
      <c r="G142" s="312"/>
      <c r="H142" s="312"/>
      <c r="I142" s="332" t="s">
        <v>14</v>
      </c>
      <c r="J142" s="332" t="s">
        <v>14</v>
      </c>
    </row>
    <row r="143" spans="2:10">
      <c r="C143" s="312" t="s">
        <v>405</v>
      </c>
      <c r="D143" s="312"/>
      <c r="E143" s="312"/>
      <c r="F143" s="312"/>
      <c r="G143" s="312"/>
      <c r="H143" s="312"/>
      <c r="I143" s="332" t="s">
        <v>14</v>
      </c>
      <c r="J143" s="332" t="s">
        <v>14</v>
      </c>
    </row>
    <row r="144" spans="2:10">
      <c r="C144" s="2" t="s">
        <v>406</v>
      </c>
      <c r="D144" s="2"/>
      <c r="E144" s="2"/>
      <c r="F144" s="312"/>
      <c r="G144" s="312"/>
      <c r="H144" s="312"/>
      <c r="I144" s="332" t="s">
        <v>14</v>
      </c>
      <c r="J144" s="332" t="s">
        <v>14</v>
      </c>
    </row>
    <row r="145" spans="3:10">
      <c r="C145" s="2" t="s">
        <v>407</v>
      </c>
      <c r="D145" s="2"/>
      <c r="E145" s="2"/>
      <c r="F145" s="312"/>
      <c r="G145" s="312"/>
      <c r="H145" s="312"/>
      <c r="I145" s="332" t="s">
        <v>14</v>
      </c>
      <c r="J145" s="332" t="s">
        <v>14</v>
      </c>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2" t="s">
        <v>14</v>
      </c>
      <c r="J148" s="332" t="s">
        <v>14</v>
      </c>
    </row>
    <row r="149" spans="3:10">
      <c r="C149" s="312" t="s">
        <v>411</v>
      </c>
      <c r="D149" s="312"/>
      <c r="E149" s="312"/>
      <c r="F149" s="312"/>
      <c r="G149" s="312"/>
      <c r="H149" s="312"/>
      <c r="I149" s="332" t="s">
        <v>14</v>
      </c>
      <c r="J149" s="332" t="s">
        <v>14</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2" t="s">
        <v>14</v>
      </c>
      <c r="J154" s="332" t="s">
        <v>14</v>
      </c>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2" t="s">
        <v>14</v>
      </c>
      <c r="J156" s="332" t="s">
        <v>14</v>
      </c>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2" t="s">
        <v>14</v>
      </c>
      <c r="J162" s="332" t="s">
        <v>14</v>
      </c>
    </row>
    <row r="163" spans="3:10">
      <c r="C163" s="312" t="s">
        <v>425</v>
      </c>
      <c r="D163" s="312"/>
      <c r="E163" s="312"/>
      <c r="F163" s="312"/>
      <c r="G163" s="312"/>
      <c r="H163" s="312"/>
      <c r="I163" s="332" t="s">
        <v>14</v>
      </c>
      <c r="J163" s="332" t="s">
        <v>14</v>
      </c>
    </row>
    <row r="164" spans="3:10">
      <c r="C164" s="312" t="s">
        <v>426</v>
      </c>
      <c r="D164" s="312"/>
      <c r="E164" s="312"/>
      <c r="F164" s="312"/>
      <c r="G164" s="312"/>
      <c r="H164" s="312"/>
      <c r="I164" s="332" t="s">
        <v>14</v>
      </c>
      <c r="J164" s="332" t="s">
        <v>14</v>
      </c>
    </row>
    <row r="165" spans="3:10">
      <c r="C165" s="315" t="s">
        <v>427</v>
      </c>
      <c r="D165" s="315"/>
      <c r="E165" s="315"/>
      <c r="F165" s="315"/>
      <c r="G165" s="315"/>
      <c r="H165" s="315"/>
      <c r="I165" s="332" t="s">
        <v>14</v>
      </c>
      <c r="J165" s="332" t="s">
        <v>14</v>
      </c>
    </row>
    <row r="166" spans="3:10">
      <c r="C166" s="315" t="s">
        <v>428</v>
      </c>
      <c r="D166" s="315"/>
      <c r="E166" s="315"/>
      <c r="F166" s="315"/>
      <c r="G166" s="315"/>
      <c r="H166" s="315"/>
      <c r="I166" s="332" t="s">
        <v>14</v>
      </c>
      <c r="J166" s="332" t="s">
        <v>14</v>
      </c>
    </row>
    <row r="167" spans="3:10">
      <c r="C167" s="312" t="s">
        <v>429</v>
      </c>
      <c r="D167" s="312"/>
      <c r="E167" s="312"/>
      <c r="F167" s="312"/>
      <c r="G167" s="312"/>
      <c r="H167" s="312"/>
      <c r="I167" s="332" t="s">
        <v>14</v>
      </c>
      <c r="J167" s="332" t="s">
        <v>14</v>
      </c>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2" t="s">
        <v>14</v>
      </c>
      <c r="J170" s="332" t="s">
        <v>14</v>
      </c>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2" t="s">
        <v>14</v>
      </c>
      <c r="J173" s="332" t="s">
        <v>14</v>
      </c>
    </row>
    <row r="174" spans="3:10">
      <c r="C174" s="315" t="s">
        <v>432</v>
      </c>
      <c r="D174" s="315"/>
      <c r="E174" s="315"/>
      <c r="F174" s="315"/>
      <c r="G174" s="315"/>
      <c r="H174" s="315"/>
      <c r="I174" s="332" t="s">
        <v>14</v>
      </c>
      <c r="J174" s="332" t="s">
        <v>14</v>
      </c>
    </row>
    <row r="175" spans="3:10">
      <c r="C175" s="315" t="s">
        <v>433</v>
      </c>
      <c r="D175" s="315"/>
      <c r="E175" s="315"/>
      <c r="F175" s="315"/>
      <c r="G175" s="315"/>
      <c r="H175" s="315"/>
      <c r="I175" s="332" t="s">
        <v>14</v>
      </c>
      <c r="J175" s="332" t="s">
        <v>14</v>
      </c>
    </row>
    <row r="176" spans="3:10">
      <c r="C176" s="315" t="s">
        <v>434</v>
      </c>
      <c r="D176" s="315"/>
      <c r="E176" s="315"/>
      <c r="F176" s="315"/>
      <c r="G176" s="315"/>
      <c r="H176" s="315"/>
      <c r="I176" s="332" t="s">
        <v>14</v>
      </c>
      <c r="J176" s="332" t="s">
        <v>14</v>
      </c>
    </row>
    <row r="177" spans="3:10">
      <c r="C177" s="315" t="s">
        <v>435</v>
      </c>
      <c r="D177" s="315"/>
      <c r="E177" s="315"/>
      <c r="F177" s="315"/>
      <c r="G177" s="315"/>
      <c r="H177" s="315"/>
      <c r="I177" s="332" t="s">
        <v>14</v>
      </c>
      <c r="J177" s="332" t="s">
        <v>14</v>
      </c>
    </row>
    <row r="178" spans="3:10">
      <c r="C178" s="310" t="s">
        <v>422</v>
      </c>
      <c r="D178" s="310"/>
      <c r="E178" s="310"/>
      <c r="F178" s="312"/>
      <c r="G178" s="312"/>
      <c r="H178" s="312"/>
      <c r="I178" s="332" t="s">
        <v>14</v>
      </c>
      <c r="J178" s="332" t="s">
        <v>14</v>
      </c>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2" t="s">
        <v>14</v>
      </c>
      <c r="J187" s="332" t="s">
        <v>14</v>
      </c>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2" t="s">
        <v>14</v>
      </c>
      <c r="J193" s="332" t="s">
        <v>14</v>
      </c>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2" t="s">
        <v>14</v>
      </c>
      <c r="J210" s="332" t="s">
        <v>14</v>
      </c>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v>42004</v>
      </c>
      <c r="J225" s="364" t="s">
        <v>14</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332" t="s">
        <v>14</v>
      </c>
    </row>
    <row r="231" spans="2:10">
      <c r="C231" s="312" t="s">
        <v>477</v>
      </c>
      <c r="D231" s="312"/>
      <c r="E231" s="312"/>
      <c r="F231" s="312"/>
      <c r="G231" s="312"/>
      <c r="H231" s="312"/>
      <c r="I231" s="332" t="s">
        <v>14</v>
      </c>
      <c r="J231" s="332" t="s">
        <v>14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v>42004</v>
      </c>
      <c r="J235" s="364" t="s">
        <v>14</v>
      </c>
    </row>
    <row r="236" spans="2:10">
      <c r="C236" s="308" t="s">
        <v>480</v>
      </c>
      <c r="D236" s="2"/>
      <c r="E236" s="2"/>
      <c r="F236" s="312"/>
      <c r="G236" s="312"/>
      <c r="H236" s="312"/>
      <c r="I236" s="332" t="s">
        <v>14</v>
      </c>
      <c r="J236" s="332" t="s">
        <v>14</v>
      </c>
    </row>
    <row r="237" spans="2:10">
      <c r="C237" s="2" t="s">
        <v>481</v>
      </c>
      <c r="D237" s="2"/>
      <c r="E237" s="2"/>
      <c r="F237" s="312"/>
      <c r="G237" s="312"/>
      <c r="H237" s="312"/>
      <c r="I237" s="364" t="s">
        <v>14</v>
      </c>
      <c r="J237" s="364" t="s">
        <v>14</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14</v>
      </c>
      <c r="J253" s="332" t="s">
        <v>14</v>
      </c>
    </row>
    <row r="254" spans="2:10">
      <c r="C254" s="308" t="s">
        <v>539</v>
      </c>
      <c r="D254" s="2"/>
      <c r="E254" s="2"/>
      <c r="F254" s="312"/>
      <c r="G254" s="312"/>
      <c r="H254" s="312"/>
      <c r="I254" s="364" t="s">
        <v>14</v>
      </c>
      <c r="J254" s="364" t="s">
        <v>14</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14</v>
      </c>
      <c r="J267" s="332" t="s">
        <v>14</v>
      </c>
    </row>
    <row r="268" spans="2:10">
      <c r="C268" s="312" t="s">
        <v>495</v>
      </c>
      <c r="D268" s="312"/>
      <c r="E268" s="312"/>
      <c r="F268" s="312"/>
      <c r="G268" s="312"/>
      <c r="H268" s="312"/>
      <c r="I268" s="332" t="s">
        <v>14</v>
      </c>
      <c r="J268" s="332" t="s">
        <v>14</v>
      </c>
    </row>
    <row r="269" spans="2:10">
      <c r="C269" s="312" t="s">
        <v>496</v>
      </c>
      <c r="D269" s="312"/>
      <c r="E269" s="312"/>
      <c r="F269" s="312"/>
      <c r="G269" s="312"/>
      <c r="H269" s="312"/>
      <c r="I269" s="332" t="s">
        <v>14</v>
      </c>
      <c r="J269" s="332" t="s">
        <v>14</v>
      </c>
    </row>
    <row r="270" spans="2:10">
      <c r="C270" s="312" t="s">
        <v>497</v>
      </c>
      <c r="D270" s="312"/>
      <c r="E270" s="312"/>
      <c r="F270" s="312"/>
      <c r="G270" s="312"/>
      <c r="H270" s="312"/>
      <c r="I270" s="332" t="s">
        <v>14</v>
      </c>
      <c r="J270" s="332" t="s">
        <v>14</v>
      </c>
    </row>
    <row r="271" spans="2:10">
      <c r="C271" s="312" t="s">
        <v>498</v>
      </c>
      <c r="D271" s="312"/>
      <c r="E271" s="312"/>
      <c r="F271" s="312"/>
      <c r="G271" s="312"/>
      <c r="H271" s="312"/>
      <c r="I271" s="332" t="s">
        <v>14</v>
      </c>
      <c r="J271" s="332" t="s">
        <v>14</v>
      </c>
    </row>
    <row r="272" spans="2:10">
      <c r="C272" s="312" t="s">
        <v>499</v>
      </c>
      <c r="D272" s="312"/>
      <c r="E272" s="312"/>
      <c r="F272" s="312"/>
      <c r="G272" s="312"/>
      <c r="H272" s="312"/>
      <c r="I272" s="332" t="s">
        <v>14</v>
      </c>
      <c r="J272" s="332" t="s">
        <v>14</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I291" s="2"/>
      <c r="J291" s="7"/>
      <c r="K291" s="2"/>
      <c r="L291" s="2"/>
      <c r="M291" s="301"/>
      <c r="N291" s="2"/>
      <c r="O291" s="301"/>
    </row>
  </sheetData>
  <sheetProtection selectLockedCells="1"/>
  <mergeCells count="109">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39:D39"/>
    <mergeCell ref="H39:M39"/>
    <mergeCell ref="C40:D40"/>
    <mergeCell ref="H40:M40"/>
    <mergeCell ref="C41:D41"/>
    <mergeCell ref="H41:M41"/>
    <mergeCell ref="C24:D24"/>
    <mergeCell ref="F24:G24"/>
    <mergeCell ref="K24:M24"/>
    <mergeCell ref="C27:M34"/>
    <mergeCell ref="H37:M37"/>
    <mergeCell ref="C38:D38"/>
    <mergeCell ref="H38:M38"/>
    <mergeCell ref="C45:D45"/>
    <mergeCell ref="H45:M45"/>
    <mergeCell ref="C46:D46"/>
    <mergeCell ref="H46:M46"/>
    <mergeCell ref="C47:D47"/>
    <mergeCell ref="H47:M47"/>
    <mergeCell ref="C42:D42"/>
    <mergeCell ref="H42:M42"/>
    <mergeCell ref="C43:D43"/>
    <mergeCell ref="H43:M43"/>
    <mergeCell ref="C44:D44"/>
    <mergeCell ref="H44:M44"/>
    <mergeCell ref="C51:D51"/>
    <mergeCell ref="H51:M51"/>
    <mergeCell ref="C52:D52"/>
    <mergeCell ref="H52:M52"/>
    <mergeCell ref="C53:D53"/>
    <mergeCell ref="H53:M53"/>
    <mergeCell ref="C48:D48"/>
    <mergeCell ref="H48:M48"/>
    <mergeCell ref="C49:D49"/>
    <mergeCell ref="H49:M49"/>
    <mergeCell ref="C50:D50"/>
    <mergeCell ref="H50:M50"/>
    <mergeCell ref="I65:J65"/>
    <mergeCell ref="C57:D57"/>
    <mergeCell ref="H57:M57"/>
    <mergeCell ref="C58:D58"/>
    <mergeCell ref="H58:M58"/>
    <mergeCell ref="I63:J63"/>
    <mergeCell ref="I64:J64"/>
    <mergeCell ref="C54:D54"/>
    <mergeCell ref="H54:M54"/>
    <mergeCell ref="C55:D55"/>
    <mergeCell ref="H55:M55"/>
    <mergeCell ref="C56:D56"/>
    <mergeCell ref="H56:M56"/>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72">
    <tabColor rgb="FF00B0F0"/>
  </sheetPr>
  <dimension ref="B1:U291"/>
  <sheetViews>
    <sheetView workbookViewId="0">
      <selection activeCell="L12" sqref="L12:M12"/>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Detail!A45</f>
        <v>Pullman Wheelworks, Phase 2</v>
      </c>
      <c r="D2" s="341"/>
      <c r="E2" s="341"/>
      <c r="F2" s="120"/>
      <c r="G2" s="120"/>
      <c r="H2" s="120"/>
      <c r="I2" s="120"/>
      <c r="J2" s="120"/>
      <c r="K2" s="120"/>
      <c r="L2" s="120"/>
      <c r="M2" s="121"/>
      <c r="N2" s="319"/>
    </row>
    <row r="3" spans="2:21" s="122" customFormat="1" ht="20.25" customHeight="1" thickBot="1">
      <c r="B3" s="319"/>
      <c r="C3" s="136" t="str">
        <f>Detail!B45</f>
        <v>M Angelini</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Detail!V45</f>
        <v>Senior</v>
      </c>
      <c r="G6" s="836"/>
      <c r="H6" s="357"/>
      <c r="I6" s="833" t="s">
        <v>219</v>
      </c>
      <c r="J6" s="834"/>
      <c r="K6" s="834"/>
      <c r="L6" s="837" t="str">
        <f>Detail!I45</f>
        <v>LIHTC - 9%</v>
      </c>
      <c r="M6" s="838"/>
      <c r="N6" s="318"/>
    </row>
    <row r="7" spans="2:21" ht="17.25" customHeight="1">
      <c r="B7" s="318"/>
      <c r="C7" s="796" t="s">
        <v>214</v>
      </c>
      <c r="D7" s="797"/>
      <c r="E7" s="352"/>
      <c r="F7" s="819" t="str">
        <f>Detail!C45</f>
        <v>Chicago</v>
      </c>
      <c r="G7" s="820"/>
      <c r="H7" s="357"/>
      <c r="I7" s="796" t="s">
        <v>183</v>
      </c>
      <c r="J7" s="797"/>
      <c r="K7" s="797"/>
      <c r="L7" s="830" t="str">
        <f>Detail!J45</f>
        <v>TBD</v>
      </c>
      <c r="M7" s="831"/>
      <c r="N7" s="318"/>
    </row>
    <row r="8" spans="2:21">
      <c r="B8" s="318"/>
      <c r="C8" s="796" t="s">
        <v>9</v>
      </c>
      <c r="D8" s="797"/>
      <c r="E8" s="352"/>
      <c r="F8" s="819" t="str">
        <f>Detail!D45</f>
        <v>New Construction</v>
      </c>
      <c r="G8" s="820"/>
      <c r="H8" s="357"/>
      <c r="I8" s="796" t="s">
        <v>184</v>
      </c>
      <c r="J8" s="797"/>
      <c r="K8" s="797"/>
      <c r="L8" s="830" t="str">
        <f>Detail!K45</f>
        <v>TBD</v>
      </c>
      <c r="M8" s="831"/>
      <c r="N8" s="318"/>
    </row>
    <row r="9" spans="2:21">
      <c r="B9" s="318"/>
      <c r="C9" s="796" t="s">
        <v>215</v>
      </c>
      <c r="D9" s="797"/>
      <c r="E9" s="353"/>
      <c r="F9" s="832">
        <f>Detail!T45</f>
        <v>60</v>
      </c>
      <c r="G9" s="820"/>
      <c r="H9" s="357"/>
      <c r="I9" s="796" t="s">
        <v>185</v>
      </c>
      <c r="J9" s="797"/>
      <c r="K9" s="797"/>
      <c r="L9" s="830" t="str">
        <f>Detail!L45</f>
        <v>TBD</v>
      </c>
      <c r="M9" s="831"/>
      <c r="N9" s="318"/>
    </row>
    <row r="10" spans="2:21" ht="17.25" customHeight="1">
      <c r="B10" s="318"/>
      <c r="C10" s="796" t="s">
        <v>216</v>
      </c>
      <c r="D10" s="797"/>
      <c r="E10" s="352"/>
      <c r="F10" s="819" t="str">
        <f>Detail!V45</f>
        <v>Senior</v>
      </c>
      <c r="G10" s="820"/>
      <c r="H10" s="357"/>
      <c r="I10" s="796" t="s">
        <v>44</v>
      </c>
      <c r="J10" s="797"/>
      <c r="K10" s="797"/>
      <c r="L10" s="800" t="str">
        <f>Detail!AB45</f>
        <v>TBD</v>
      </c>
      <c r="M10" s="801"/>
      <c r="N10" s="318"/>
    </row>
    <row r="11" spans="2:21" ht="17.25" customHeight="1">
      <c r="B11" s="318"/>
      <c r="C11" s="361"/>
      <c r="D11" s="362"/>
      <c r="E11" s="352"/>
      <c r="F11" s="819" t="str">
        <f>Detail!W45</f>
        <v>Senior - Independent</v>
      </c>
      <c r="G11" s="820"/>
      <c r="H11" s="357"/>
      <c r="I11" s="796" t="s">
        <v>602</v>
      </c>
      <c r="J11" s="797"/>
      <c r="K11" s="530"/>
      <c r="L11" s="828" t="str">
        <f>Detail!AG45</f>
        <v>TBD</v>
      </c>
      <c r="M11" s="829"/>
      <c r="N11" s="318"/>
    </row>
    <row r="12" spans="2:21">
      <c r="B12" s="318"/>
      <c r="C12" s="361"/>
      <c r="D12" s="362"/>
      <c r="E12" s="352"/>
      <c r="F12" s="819" t="str">
        <f>Detail!X45</f>
        <v>Vets</v>
      </c>
      <c r="G12" s="820"/>
      <c r="H12" s="357"/>
      <c r="I12" s="796" t="s">
        <v>603</v>
      </c>
      <c r="J12" s="797"/>
      <c r="K12" s="797"/>
      <c r="L12" s="828" t="str">
        <f>Detail!N45</f>
        <v>TBD</v>
      </c>
      <c r="M12" s="829"/>
      <c r="N12" s="318"/>
    </row>
    <row r="13" spans="2:21" ht="17.25" customHeight="1">
      <c r="B13" s="318"/>
      <c r="C13" s="796" t="s">
        <v>525</v>
      </c>
      <c r="D13" s="797"/>
      <c r="E13" s="354"/>
      <c r="F13" s="827" t="str">
        <f>Detail!AM45</f>
        <v>MHMG</v>
      </c>
      <c r="G13" s="820"/>
      <c r="H13" s="357"/>
      <c r="I13" s="796" t="s">
        <v>256</v>
      </c>
      <c r="J13" s="797"/>
      <c r="K13" s="797"/>
      <c r="L13" s="800" t="str">
        <f>Detail!AC45</f>
        <v>TBD</v>
      </c>
      <c r="M13" s="801"/>
      <c r="N13" s="318"/>
    </row>
    <row r="14" spans="2:21" ht="35.25" customHeight="1">
      <c r="B14" s="318"/>
      <c r="C14" s="796" t="s">
        <v>172</v>
      </c>
      <c r="D14" s="797"/>
      <c r="E14" s="352"/>
      <c r="F14" s="819" t="str">
        <f>Detail!Z45</f>
        <v>Service Coordination</v>
      </c>
      <c r="G14" s="820"/>
      <c r="H14" s="357"/>
      <c r="I14" s="796" t="s">
        <v>257</v>
      </c>
      <c r="J14" s="797"/>
      <c r="K14" s="797"/>
      <c r="L14" s="800" t="str">
        <f>Detail!AF45</f>
        <v>TBD</v>
      </c>
      <c r="M14" s="801"/>
      <c r="N14" s="318"/>
    </row>
    <row r="15" spans="2:21" ht="17.25" customHeight="1" thickBot="1">
      <c r="B15" s="318"/>
      <c r="C15" s="796" t="s">
        <v>217</v>
      </c>
      <c r="D15" s="797"/>
      <c r="E15" s="355"/>
      <c r="F15" s="819" t="str">
        <f>Detail!AA45</f>
        <v>TBD</v>
      </c>
      <c r="G15" s="820"/>
      <c r="H15" s="357"/>
      <c r="I15" s="821" t="s">
        <v>255</v>
      </c>
      <c r="J15" s="822"/>
      <c r="K15" s="822"/>
      <c r="L15" s="823" t="str">
        <f>Detail!AD45</f>
        <v>TBD</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t="str">
        <f>Detail!AH45</f>
        <v>TBD</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t="str">
        <f>Detail!AJ45</f>
        <v>TBD</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t="str">
        <f>Detail!AI45</f>
        <v>TBD</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6" thickTop="1">
      <c r="B21" s="320"/>
      <c r="C21" s="804" t="s">
        <v>46</v>
      </c>
      <c r="D21" s="805"/>
      <c r="E21" s="349"/>
      <c r="F21" s="806" t="str">
        <f>Detail!F45</f>
        <v>Prospect</v>
      </c>
      <c r="G21" s="807"/>
      <c r="H21" s="359"/>
      <c r="I21" s="804" t="s">
        <v>226</v>
      </c>
      <c r="J21" s="805"/>
      <c r="K21" s="805"/>
      <c r="L21" s="808">
        <f>Detail!Q45</f>
        <v>0</v>
      </c>
      <c r="M21" s="809"/>
      <c r="N21" s="320"/>
    </row>
    <row r="22" spans="2:21" s="88" customFormat="1" ht="17.25" customHeight="1">
      <c r="B22" s="320"/>
      <c r="C22" s="796" t="s">
        <v>223</v>
      </c>
      <c r="D22" s="797"/>
      <c r="E22" s="348"/>
      <c r="F22" s="798">
        <f>Detail!P45</f>
        <v>41974</v>
      </c>
      <c r="G22" s="799"/>
      <c r="H22" s="359"/>
      <c r="I22" s="796" t="s">
        <v>227</v>
      </c>
      <c r="J22" s="797"/>
      <c r="K22" s="797"/>
      <c r="L22" s="800">
        <f>Detail!AO45+Detail!AP45+Detail!AQ45+Detail!AR45</f>
        <v>0</v>
      </c>
      <c r="M22" s="801"/>
      <c r="N22" s="320"/>
    </row>
    <row r="23" spans="2:21" s="88" customFormat="1" ht="17.25" customHeight="1">
      <c r="B23" s="320"/>
      <c r="C23" s="796" t="s">
        <v>224</v>
      </c>
      <c r="D23" s="797"/>
      <c r="E23" s="348"/>
      <c r="F23" s="798">
        <f>Detail!R45</f>
        <v>41974</v>
      </c>
      <c r="G23" s="799"/>
      <c r="H23" s="359"/>
      <c r="I23" s="796" t="s">
        <v>228</v>
      </c>
      <c r="J23" s="797"/>
      <c r="K23" s="797"/>
      <c r="L23" s="800">
        <f>Detail!BG45</f>
        <v>0</v>
      </c>
      <c r="M23" s="801"/>
      <c r="N23" s="320"/>
    </row>
    <row r="24" spans="2:21" s="88" customFormat="1" ht="17.25" customHeight="1" thickBot="1">
      <c r="B24" s="320"/>
      <c r="C24" s="778" t="s">
        <v>225</v>
      </c>
      <c r="D24" s="779"/>
      <c r="E24" s="533"/>
      <c r="F24" s="780">
        <f>Detail!S45</f>
        <v>42430</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Pullman Wheelworks, Phase 2</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c r="B38" s="322"/>
      <c r="C38" s="792" t="s">
        <v>514</v>
      </c>
      <c r="D38" s="793"/>
      <c r="E38" s="344"/>
      <c r="F38" s="368" t="str">
        <f>I92</f>
        <v>TBD</v>
      </c>
      <c r="G38" s="368" t="str">
        <f>J92</f>
        <v>TBD</v>
      </c>
      <c r="H38" s="794"/>
      <c r="I38" s="794"/>
      <c r="J38" s="794"/>
      <c r="K38" s="794"/>
      <c r="L38" s="794"/>
      <c r="M38" s="795"/>
      <c r="N38" s="322"/>
    </row>
    <row r="39" spans="2:19" s="300" customFormat="1" ht="12.75" customHeight="1">
      <c r="B39" s="322"/>
      <c r="C39" s="774" t="s">
        <v>516</v>
      </c>
      <c r="D39" s="775"/>
      <c r="E39" s="532"/>
      <c r="F39" s="368" t="str">
        <f>I94</f>
        <v>TBD</v>
      </c>
      <c r="G39" s="369" t="str">
        <f>J94</f>
        <v>TBD</v>
      </c>
      <c r="H39" s="772"/>
      <c r="I39" s="772"/>
      <c r="J39" s="772"/>
      <c r="K39" s="772"/>
      <c r="L39" s="772"/>
      <c r="M39" s="773"/>
      <c r="N39" s="322"/>
    </row>
    <row r="40" spans="2:19" s="300" customFormat="1">
      <c r="B40" s="322"/>
      <c r="C40" s="774" t="s">
        <v>344</v>
      </c>
      <c r="D40" s="775"/>
      <c r="E40" s="532"/>
      <c r="F40" s="368" t="str">
        <f>I96</f>
        <v>TBD</v>
      </c>
      <c r="G40" s="368" t="str">
        <f>J96</f>
        <v>TBD</v>
      </c>
      <c r="H40" s="772"/>
      <c r="I40" s="772"/>
      <c r="J40" s="772"/>
      <c r="K40" s="772"/>
      <c r="L40" s="772"/>
      <c r="M40" s="773"/>
      <c r="N40" s="322"/>
    </row>
    <row r="41" spans="2:19" s="300" customFormat="1" ht="12.75" customHeight="1">
      <c r="B41" s="322"/>
      <c r="C41" s="774" t="s">
        <v>535</v>
      </c>
      <c r="D41" s="775"/>
      <c r="E41" s="532"/>
      <c r="F41" s="368" t="str">
        <f>'Pullman Wheelworks 2'!I102</f>
        <v>TBD</v>
      </c>
      <c r="G41" s="368" t="str">
        <f>J102</f>
        <v>TBD</v>
      </c>
      <c r="H41" s="772"/>
      <c r="I41" s="772"/>
      <c r="J41" s="772"/>
      <c r="K41" s="772"/>
      <c r="L41" s="772"/>
      <c r="M41" s="773"/>
      <c r="N41" s="322"/>
      <c r="P41" s="358"/>
      <c r="Q41" s="358"/>
      <c r="R41" s="358"/>
      <c r="S41" s="358"/>
    </row>
    <row r="42" spans="2:19" s="300" customFormat="1">
      <c r="B42" s="322"/>
      <c r="C42" s="774" t="s">
        <v>536</v>
      </c>
      <c r="D42" s="775"/>
      <c r="E42" s="532"/>
      <c r="F42" s="368" t="str">
        <f>I110</f>
        <v>TBD</v>
      </c>
      <c r="G42" s="368" t="str">
        <f>J110</f>
        <v>TBD</v>
      </c>
      <c r="H42" s="772"/>
      <c r="I42" s="772"/>
      <c r="J42" s="772"/>
      <c r="K42" s="772"/>
      <c r="L42" s="772"/>
      <c r="M42" s="773"/>
      <c r="N42" s="322"/>
      <c r="P42" s="358"/>
      <c r="Q42" s="358"/>
      <c r="R42" s="358"/>
      <c r="S42" s="358"/>
    </row>
    <row r="43" spans="2:19" s="300" customFormat="1">
      <c r="B43" s="322"/>
      <c r="C43" s="774" t="s">
        <v>517</v>
      </c>
      <c r="D43" s="775"/>
      <c r="E43" s="532"/>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32"/>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32"/>
      <c r="F45" s="368" t="str">
        <f>I200</f>
        <v>TBD</v>
      </c>
      <c r="G45" s="368" t="str">
        <f>J200</f>
        <v>TBD</v>
      </c>
      <c r="H45" s="772"/>
      <c r="I45" s="772"/>
      <c r="J45" s="772"/>
      <c r="K45" s="772"/>
      <c r="L45" s="772"/>
      <c r="M45" s="773"/>
      <c r="N45" s="322"/>
    </row>
    <row r="46" spans="2:19" s="300" customFormat="1">
      <c r="B46" s="322"/>
      <c r="C46" s="774" t="s">
        <v>538</v>
      </c>
      <c r="D46" s="775"/>
      <c r="E46" s="532"/>
      <c r="F46" s="368" t="str">
        <f>I232</f>
        <v>TBD</v>
      </c>
      <c r="G46" s="368" t="str">
        <f>J232</f>
        <v>TBD</v>
      </c>
      <c r="H46" s="772"/>
      <c r="I46" s="772"/>
      <c r="J46" s="772"/>
      <c r="K46" s="772"/>
      <c r="L46" s="772"/>
      <c r="M46" s="773"/>
      <c r="N46" s="322"/>
    </row>
    <row r="47" spans="2:19" s="300" customFormat="1">
      <c r="B47" s="322"/>
      <c r="C47" s="774" t="s">
        <v>55</v>
      </c>
      <c r="D47" s="775"/>
      <c r="E47" s="532"/>
      <c r="F47" s="368">
        <f>I225</f>
        <v>42004</v>
      </c>
      <c r="G47" s="368" t="str">
        <f>J225</f>
        <v>TBD</v>
      </c>
      <c r="H47" s="772"/>
      <c r="I47" s="772"/>
      <c r="J47" s="772"/>
      <c r="K47" s="772"/>
      <c r="L47" s="772"/>
      <c r="M47" s="773"/>
      <c r="N47" s="322"/>
    </row>
    <row r="48" spans="2:19" s="300" customFormat="1">
      <c r="B48" s="322"/>
      <c r="C48" s="774" t="s">
        <v>346</v>
      </c>
      <c r="D48" s="775"/>
      <c r="E48" s="532"/>
      <c r="F48" s="368">
        <f>I235</f>
        <v>42004</v>
      </c>
      <c r="G48" s="368" t="str">
        <f>J235</f>
        <v>TBD</v>
      </c>
      <c r="H48" s="772"/>
      <c r="I48" s="772"/>
      <c r="J48" s="772"/>
      <c r="K48" s="772"/>
      <c r="L48" s="772"/>
      <c r="M48" s="773"/>
      <c r="N48" s="322"/>
    </row>
    <row r="49" spans="2:14" s="300" customFormat="1">
      <c r="B49" s="322"/>
      <c r="C49" s="774" t="s">
        <v>347</v>
      </c>
      <c r="D49" s="775"/>
      <c r="E49" s="532"/>
      <c r="F49" s="368" t="str">
        <f>I237</f>
        <v>TBD</v>
      </c>
      <c r="G49" s="368" t="str">
        <f>J237</f>
        <v>TBD</v>
      </c>
      <c r="H49" s="772"/>
      <c r="I49" s="772"/>
      <c r="J49" s="772"/>
      <c r="K49" s="772"/>
      <c r="L49" s="772"/>
      <c r="M49" s="773"/>
      <c r="N49" s="322"/>
    </row>
    <row r="50" spans="2:14" s="300" customFormat="1">
      <c r="B50" s="322"/>
      <c r="C50" s="774" t="s">
        <v>348</v>
      </c>
      <c r="D50" s="775"/>
      <c r="E50" s="532"/>
      <c r="F50" s="368" t="str">
        <f>I254</f>
        <v>TBD</v>
      </c>
      <c r="G50" s="368" t="str">
        <f>J254</f>
        <v>TBD</v>
      </c>
      <c r="H50" s="772"/>
      <c r="I50" s="772"/>
      <c r="J50" s="772"/>
      <c r="K50" s="772"/>
      <c r="L50" s="772"/>
      <c r="M50" s="773"/>
      <c r="N50" s="322"/>
    </row>
    <row r="51" spans="2:14" s="300" customFormat="1">
      <c r="B51" s="322"/>
      <c r="C51" s="774" t="s">
        <v>65</v>
      </c>
      <c r="D51" s="775"/>
      <c r="E51" s="532"/>
      <c r="F51" s="368" t="str">
        <f>I255</f>
        <v>TBD</v>
      </c>
      <c r="G51" s="368" t="str">
        <f>J255</f>
        <v>TBD</v>
      </c>
      <c r="H51" s="772"/>
      <c r="I51" s="772"/>
      <c r="J51" s="772"/>
      <c r="K51" s="772"/>
      <c r="L51" s="772"/>
      <c r="M51" s="773"/>
      <c r="N51" s="322"/>
    </row>
    <row r="52" spans="2:14" s="300" customFormat="1">
      <c r="B52" s="322"/>
      <c r="C52" s="774" t="s">
        <v>540</v>
      </c>
      <c r="D52" s="775"/>
      <c r="E52" s="532"/>
      <c r="F52" s="368" t="str">
        <f>I273</f>
        <v>TBD</v>
      </c>
      <c r="G52" s="368" t="str">
        <f>J273</f>
        <v>TBD</v>
      </c>
      <c r="H52" s="772"/>
      <c r="I52" s="772"/>
      <c r="J52" s="772"/>
      <c r="K52" s="772"/>
      <c r="L52" s="772"/>
      <c r="M52" s="773"/>
      <c r="N52" s="322"/>
    </row>
    <row r="53" spans="2:14" s="300" customFormat="1">
      <c r="B53" s="322"/>
      <c r="C53" s="774" t="s">
        <v>542</v>
      </c>
      <c r="D53" s="775"/>
      <c r="E53" s="532"/>
      <c r="F53" s="368" t="str">
        <f>I276</f>
        <v>TBD</v>
      </c>
      <c r="G53" s="368" t="str">
        <f>J276</f>
        <v>TBD</v>
      </c>
      <c r="H53" s="772"/>
      <c r="I53" s="772"/>
      <c r="J53" s="772"/>
      <c r="K53" s="772"/>
      <c r="L53" s="772"/>
      <c r="M53" s="773"/>
      <c r="N53" s="322"/>
    </row>
    <row r="54" spans="2:14" s="300" customFormat="1">
      <c r="B54" s="322"/>
      <c r="C54" s="774">
        <v>8609</v>
      </c>
      <c r="D54" s="775"/>
      <c r="E54" s="532"/>
      <c r="F54" s="368" t="str">
        <f>I289</f>
        <v>TBD</v>
      </c>
      <c r="G54" s="368" t="str">
        <f>J289</f>
        <v>TBD</v>
      </c>
      <c r="H54" s="772"/>
      <c r="I54" s="772"/>
      <c r="J54" s="772"/>
      <c r="K54" s="772"/>
      <c r="L54" s="772"/>
      <c r="M54" s="773"/>
      <c r="N54" s="322"/>
    </row>
    <row r="55" spans="2:14" s="300" customForma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531"/>
      <c r="F56" s="338"/>
      <c r="G56" s="338"/>
      <c r="H56" s="772"/>
      <c r="I56" s="772"/>
      <c r="J56" s="772"/>
      <c r="K56" s="772"/>
      <c r="L56" s="772"/>
      <c r="M56" s="773"/>
      <c r="N56" s="322"/>
    </row>
    <row r="57" spans="2:14" s="300" customFormat="1" ht="14">
      <c r="B57" s="322"/>
      <c r="C57" s="770" t="s">
        <v>522</v>
      </c>
      <c r="D57" s="771"/>
      <c r="E57" s="531"/>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30.75" customHeight="1" thickBot="1">
      <c r="C63" s="538" t="s">
        <v>350</v>
      </c>
      <c r="D63" s="538"/>
      <c r="E63" s="308"/>
      <c r="F63" s="308"/>
      <c r="H63" s="363"/>
      <c r="I63" s="847" t="str">
        <f>C2</f>
        <v>Pullman Wheelworks, Phase 2</v>
      </c>
      <c r="J63" s="848"/>
      <c r="K63" s="17"/>
      <c r="L63" s="17"/>
      <c r="M63" s="8"/>
      <c r="N63" s="17"/>
    </row>
    <row r="64" spans="2:14" ht="16" thickBot="1">
      <c r="C64" s="308" t="s">
        <v>351</v>
      </c>
      <c r="D64" s="308"/>
      <c r="E64" s="308"/>
      <c r="F64" s="308"/>
      <c r="H64" s="363"/>
      <c r="I64" s="768" t="str">
        <f>F7</f>
        <v>Chicago</v>
      </c>
      <c r="J64" s="769"/>
      <c r="K64" s="17"/>
      <c r="L64" s="17"/>
      <c r="M64" s="8"/>
      <c r="N64" s="17"/>
    </row>
    <row r="65" spans="2:15" ht="16" thickBot="1">
      <c r="C65" s="308" t="s">
        <v>352</v>
      </c>
      <c r="D65" s="308"/>
      <c r="E65" s="308"/>
      <c r="F65" s="308"/>
      <c r="H65" s="363"/>
      <c r="I65" s="768" t="str">
        <f>C3</f>
        <v>M Angelini</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t="s">
        <v>14</v>
      </c>
      <c r="J70" s="332" t="s">
        <v>14</v>
      </c>
    </row>
    <row r="71" spans="2:15">
      <c r="C71" s="2" t="s">
        <v>356</v>
      </c>
      <c r="D71" s="2"/>
      <c r="E71" s="2"/>
      <c r="F71" s="2"/>
      <c r="G71" s="2"/>
      <c r="H71" s="2"/>
      <c r="I71" s="332" t="s">
        <v>14</v>
      </c>
      <c r="J71" s="332" t="s">
        <v>14</v>
      </c>
    </row>
    <row r="72" spans="2:15">
      <c r="C72" s="2" t="s">
        <v>357</v>
      </c>
      <c r="D72" s="2"/>
      <c r="E72" s="2"/>
      <c r="F72" s="2"/>
      <c r="G72" s="2"/>
      <c r="H72" s="2"/>
      <c r="I72" s="332" t="s">
        <v>14</v>
      </c>
      <c r="J72" s="332" t="s">
        <v>14</v>
      </c>
    </row>
    <row r="73" spans="2:15">
      <c r="C73" s="2" t="s">
        <v>358</v>
      </c>
      <c r="D73" s="2"/>
      <c r="E73" s="2"/>
      <c r="F73" s="2"/>
      <c r="G73" s="2"/>
      <c r="H73" s="2"/>
      <c r="I73" s="332" t="s">
        <v>14</v>
      </c>
      <c r="J73" s="332" t="s">
        <v>14</v>
      </c>
    </row>
    <row r="74" spans="2:15">
      <c r="C74" s="312" t="s">
        <v>359</v>
      </c>
      <c r="D74" s="312"/>
      <c r="E74" s="312"/>
      <c r="F74" s="312"/>
      <c r="G74" s="312"/>
      <c r="H74" s="312"/>
      <c r="I74" s="332" t="s">
        <v>14</v>
      </c>
      <c r="J74" s="332" t="s">
        <v>14</v>
      </c>
    </row>
    <row r="75" spans="2:15">
      <c r="C75" s="2" t="s">
        <v>360</v>
      </c>
      <c r="D75" s="2"/>
      <c r="E75" s="2"/>
      <c r="F75" s="312"/>
      <c r="G75" s="312"/>
      <c r="H75" s="312"/>
      <c r="I75" s="332" t="s">
        <v>14</v>
      </c>
      <c r="J75" s="332" t="s">
        <v>14</v>
      </c>
    </row>
    <row r="76" spans="2:15">
      <c r="C76" s="2" t="s">
        <v>361</v>
      </c>
      <c r="D76" s="2"/>
      <c r="E76" s="2"/>
      <c r="F76" s="312"/>
      <c r="G76" s="312"/>
      <c r="H76" s="312"/>
      <c r="I76" s="332" t="s">
        <v>14</v>
      </c>
      <c r="J76" s="332" t="s">
        <v>14</v>
      </c>
    </row>
    <row r="77" spans="2:15">
      <c r="C77" s="2" t="s">
        <v>362</v>
      </c>
      <c r="D77" s="2"/>
      <c r="E77" s="2"/>
      <c r="F77" s="312"/>
      <c r="G77" s="312"/>
      <c r="H77" s="312"/>
      <c r="I77" s="534"/>
      <c r="J77" s="534"/>
    </row>
    <row r="78" spans="2:15">
      <c r="C78" s="312" t="s">
        <v>363</v>
      </c>
      <c r="D78" s="312"/>
      <c r="E78" s="312"/>
      <c r="F78" s="312"/>
      <c r="G78" s="312"/>
      <c r="H78" s="312"/>
      <c r="I78" s="332" t="s">
        <v>14</v>
      </c>
      <c r="J78" s="332" t="s">
        <v>14</v>
      </c>
    </row>
    <row r="79" spans="2:15">
      <c r="C79" s="312" t="s">
        <v>364</v>
      </c>
      <c r="D79" s="312"/>
      <c r="E79" s="312"/>
      <c r="F79" s="312"/>
      <c r="G79" s="312"/>
      <c r="H79" s="312"/>
      <c r="I79" s="332" t="s">
        <v>14</v>
      </c>
      <c r="J79" s="332" t="s">
        <v>14</v>
      </c>
    </row>
    <row r="80" spans="2:15">
      <c r="C80" s="312" t="s">
        <v>365</v>
      </c>
      <c r="D80" s="312"/>
      <c r="E80" s="312"/>
      <c r="F80" s="312"/>
      <c r="G80" s="312"/>
      <c r="H80" s="312"/>
      <c r="I80" s="332" t="s">
        <v>14</v>
      </c>
      <c r="J80" s="332" t="s">
        <v>14</v>
      </c>
    </row>
    <row r="81" spans="2:10">
      <c r="C81" s="315" t="s">
        <v>366</v>
      </c>
      <c r="D81" s="315"/>
      <c r="E81" s="315"/>
      <c r="F81" s="314"/>
      <c r="G81" s="314"/>
      <c r="H81" s="314"/>
      <c r="I81" s="332" t="s">
        <v>14</v>
      </c>
      <c r="J81" s="332" t="s">
        <v>14</v>
      </c>
    </row>
    <row r="82" spans="2:10">
      <c r="C82" s="2" t="s">
        <v>367</v>
      </c>
      <c r="D82" s="2"/>
      <c r="E82" s="2"/>
      <c r="F82" s="312"/>
      <c r="G82" s="312"/>
      <c r="H82" s="312"/>
      <c r="I82" s="534"/>
      <c r="J82" s="534"/>
    </row>
    <row r="83" spans="2:10">
      <c r="C83" s="312" t="s">
        <v>368</v>
      </c>
      <c r="D83" s="312"/>
      <c r="E83" s="312"/>
      <c r="F83" s="312"/>
      <c r="G83" s="312"/>
      <c r="H83" s="312"/>
      <c r="I83" s="332" t="s">
        <v>14</v>
      </c>
      <c r="J83" s="332" t="s">
        <v>14</v>
      </c>
    </row>
    <row r="84" spans="2:10">
      <c r="C84" s="312" t="s">
        <v>369</v>
      </c>
      <c r="D84" s="312"/>
      <c r="E84" s="312"/>
      <c r="F84" s="312"/>
      <c r="G84" s="312"/>
      <c r="H84" s="312"/>
      <c r="I84" s="332" t="s">
        <v>14</v>
      </c>
      <c r="J84" s="332" t="s">
        <v>14</v>
      </c>
    </row>
    <row r="85" spans="2:10">
      <c r="C85" s="312" t="s">
        <v>370</v>
      </c>
      <c r="D85" s="312"/>
      <c r="E85" s="312"/>
      <c r="F85" s="312"/>
      <c r="G85" s="312"/>
      <c r="H85" s="312"/>
      <c r="I85" s="332" t="s">
        <v>14</v>
      </c>
      <c r="J85" s="332" t="s">
        <v>14</v>
      </c>
    </row>
    <row r="86" spans="2:10">
      <c r="C86" s="2" t="s">
        <v>371</v>
      </c>
      <c r="D86" s="2"/>
      <c r="E86" s="2"/>
      <c r="F86" s="312"/>
      <c r="G86" s="312"/>
      <c r="H86" s="312"/>
      <c r="I86" s="332" t="s">
        <v>14</v>
      </c>
      <c r="J86" s="332" t="s">
        <v>14</v>
      </c>
    </row>
    <row r="87" spans="2:10">
      <c r="C87" s="2" t="s">
        <v>372</v>
      </c>
      <c r="D87" s="2"/>
      <c r="E87" s="2"/>
      <c r="F87" s="312"/>
      <c r="G87" s="312"/>
      <c r="H87" s="312"/>
      <c r="I87" s="332" t="s">
        <v>14</v>
      </c>
      <c r="J87" s="332" t="s">
        <v>14</v>
      </c>
    </row>
    <row r="88" spans="2:10">
      <c r="C88" s="2" t="s">
        <v>373</v>
      </c>
      <c r="D88" s="2"/>
      <c r="E88" s="2"/>
      <c r="F88" s="312"/>
      <c r="G88" s="312"/>
      <c r="H88" s="312"/>
      <c r="I88" s="332" t="s">
        <v>14</v>
      </c>
      <c r="J88" s="332" t="s">
        <v>14</v>
      </c>
    </row>
    <row r="89" spans="2:10">
      <c r="C89" s="2" t="s">
        <v>374</v>
      </c>
      <c r="D89" s="2"/>
      <c r="E89" s="2"/>
      <c r="F89" s="312"/>
      <c r="G89" s="312"/>
      <c r="H89" s="312"/>
      <c r="I89" s="332" t="s">
        <v>14</v>
      </c>
      <c r="J89" s="332" t="s">
        <v>14</v>
      </c>
    </row>
    <row r="90" spans="2:10">
      <c r="C90" s="2" t="s">
        <v>375</v>
      </c>
      <c r="D90" s="2"/>
      <c r="E90" s="2"/>
      <c r="F90" s="312"/>
      <c r="G90" s="312"/>
      <c r="H90" s="312"/>
      <c r="I90" s="332" t="s">
        <v>14</v>
      </c>
      <c r="J90" s="332" t="s">
        <v>14</v>
      </c>
    </row>
    <row r="91" spans="2:10">
      <c r="C91" s="2" t="s">
        <v>376</v>
      </c>
      <c r="D91" s="2"/>
      <c r="E91" s="2"/>
      <c r="F91" s="312"/>
      <c r="G91" s="312"/>
      <c r="H91" s="312"/>
      <c r="I91" s="332" t="s">
        <v>14</v>
      </c>
      <c r="J91" s="332" t="s">
        <v>14</v>
      </c>
    </row>
    <row r="92" spans="2:10">
      <c r="C92" s="308" t="s">
        <v>377</v>
      </c>
      <c r="D92" s="308"/>
      <c r="E92" s="308"/>
      <c r="F92" s="312"/>
      <c r="G92" s="312"/>
      <c r="H92" s="312"/>
      <c r="I92" s="364" t="s">
        <v>14</v>
      </c>
      <c r="J92" s="364" t="s">
        <v>14</v>
      </c>
    </row>
    <row r="93" spans="2:10">
      <c r="C93" s="2"/>
      <c r="D93" s="2"/>
      <c r="E93" s="2"/>
      <c r="F93" s="312"/>
      <c r="G93" s="312"/>
      <c r="H93" s="312"/>
      <c r="I93" s="331"/>
      <c r="J93" s="331"/>
    </row>
    <row r="94" spans="2:10">
      <c r="B94" s="309" t="s">
        <v>378</v>
      </c>
      <c r="C94" s="308"/>
      <c r="D94" s="308"/>
      <c r="E94" s="308"/>
      <c r="F94" s="313"/>
      <c r="G94" s="313"/>
      <c r="H94" s="313"/>
      <c r="I94" s="364" t="s">
        <v>14</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14</v>
      </c>
      <c r="J99" s="332" t="s">
        <v>14</v>
      </c>
    </row>
    <row r="100" spans="2:10">
      <c r="C100" s="2" t="s">
        <v>381</v>
      </c>
      <c r="D100" s="2"/>
      <c r="E100" s="2"/>
      <c r="F100" s="312"/>
      <c r="G100" s="312"/>
      <c r="H100" s="312"/>
      <c r="I100" s="332" t="s">
        <v>14</v>
      </c>
      <c r="J100" s="332" t="s">
        <v>14</v>
      </c>
    </row>
    <row r="101" spans="2:10">
      <c r="C101" s="2" t="s">
        <v>382</v>
      </c>
      <c r="D101" s="2"/>
      <c r="E101" s="2"/>
      <c r="F101" s="312"/>
      <c r="G101" s="312"/>
      <c r="H101" s="312"/>
      <c r="I101" s="332" t="s">
        <v>14</v>
      </c>
      <c r="J101" s="332" t="s">
        <v>14</v>
      </c>
    </row>
    <row r="102" spans="2:10">
      <c r="C102" s="308" t="s">
        <v>534</v>
      </c>
      <c r="D102" s="2"/>
      <c r="E102" s="2"/>
      <c r="F102" s="312"/>
      <c r="G102" s="312"/>
      <c r="H102" s="312"/>
      <c r="I102" s="364" t="s">
        <v>14</v>
      </c>
      <c r="J102" s="364" t="s">
        <v>14</v>
      </c>
    </row>
    <row r="103" spans="2:10">
      <c r="C103" s="2" t="s">
        <v>524</v>
      </c>
      <c r="D103" s="2"/>
      <c r="E103" s="2"/>
      <c r="F103" s="312"/>
      <c r="G103" s="312"/>
      <c r="H103" s="312"/>
      <c r="I103" s="332" t="s">
        <v>14</v>
      </c>
      <c r="J103" s="332" t="s">
        <v>14</v>
      </c>
    </row>
    <row r="104" spans="2:10">
      <c r="C104" s="2" t="s">
        <v>383</v>
      </c>
      <c r="D104" s="2"/>
      <c r="E104" s="2"/>
      <c r="F104" s="312"/>
      <c r="G104" s="312"/>
      <c r="H104" s="312"/>
      <c r="I104" s="332" t="s">
        <v>14</v>
      </c>
      <c r="J104" s="332" t="s">
        <v>14</v>
      </c>
    </row>
    <row r="105" spans="2:10">
      <c r="C105" s="2" t="s">
        <v>384</v>
      </c>
      <c r="D105" s="2"/>
      <c r="E105" s="2"/>
      <c r="F105" s="312"/>
      <c r="G105" s="312"/>
      <c r="H105" s="312"/>
      <c r="I105" s="332" t="s">
        <v>14</v>
      </c>
      <c r="J105" s="332" t="s">
        <v>14</v>
      </c>
    </row>
    <row r="106" spans="2:10">
      <c r="C106" s="2" t="s">
        <v>544</v>
      </c>
      <c r="D106" s="2"/>
      <c r="E106" s="2"/>
      <c r="F106" s="312"/>
      <c r="G106" s="312"/>
      <c r="H106" s="312"/>
      <c r="I106" s="332" t="s">
        <v>14</v>
      </c>
      <c r="J106" s="332" t="s">
        <v>14</v>
      </c>
    </row>
    <row r="107" spans="2:10">
      <c r="C107" s="2" t="s">
        <v>385</v>
      </c>
      <c r="D107" s="2"/>
      <c r="E107" s="2"/>
      <c r="F107" s="312"/>
      <c r="G107" s="312"/>
      <c r="H107" s="312"/>
      <c r="I107" s="332" t="s">
        <v>14</v>
      </c>
      <c r="J107" s="332" t="s">
        <v>14</v>
      </c>
    </row>
    <row r="108" spans="2:10">
      <c r="C108" s="2" t="s">
        <v>386</v>
      </c>
      <c r="D108" s="2"/>
      <c r="E108" s="2"/>
      <c r="F108" s="312"/>
      <c r="G108" s="312"/>
      <c r="H108" s="312"/>
      <c r="I108" s="332" t="s">
        <v>14</v>
      </c>
      <c r="J108" s="332" t="s">
        <v>14</v>
      </c>
    </row>
    <row r="109" spans="2:10">
      <c r="C109" s="2" t="s">
        <v>523</v>
      </c>
      <c r="D109" s="2"/>
      <c r="E109" s="2"/>
      <c r="F109" s="312"/>
      <c r="G109" s="312"/>
      <c r="H109" s="312"/>
      <c r="I109" s="332" t="s">
        <v>14</v>
      </c>
      <c r="J109" s="332" t="s">
        <v>14</v>
      </c>
    </row>
    <row r="110" spans="2:10">
      <c r="C110" s="308" t="s">
        <v>526</v>
      </c>
      <c r="D110" s="2"/>
      <c r="E110" s="2"/>
      <c r="F110" s="312"/>
      <c r="G110" s="312"/>
      <c r="H110" s="312"/>
      <c r="I110" s="364" t="s">
        <v>14</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t="s">
        <v>14</v>
      </c>
      <c r="J115" s="332" t="s">
        <v>14</v>
      </c>
    </row>
    <row r="116" spans="3:10">
      <c r="C116" s="315" t="s">
        <v>342</v>
      </c>
      <c r="D116" s="315"/>
      <c r="E116" s="315"/>
      <c r="F116" s="315"/>
      <c r="G116" s="315"/>
      <c r="H116" s="315"/>
      <c r="I116" s="332" t="s">
        <v>14</v>
      </c>
      <c r="J116" s="332" t="s">
        <v>14</v>
      </c>
    </row>
    <row r="117" spans="3:10">
      <c r="C117" s="315" t="s">
        <v>390</v>
      </c>
      <c r="D117" s="315"/>
      <c r="E117" s="315"/>
      <c r="F117" s="315"/>
      <c r="G117" s="315"/>
      <c r="H117" s="315"/>
      <c r="I117" s="332" t="s">
        <v>14</v>
      </c>
      <c r="J117" s="332" t="s">
        <v>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t="s">
        <v>14</v>
      </c>
      <c r="J120" s="332" t="s">
        <v>14</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534"/>
      <c r="J123" s="534"/>
    </row>
    <row r="124" spans="3:10">
      <c r="C124" s="315" t="s">
        <v>392</v>
      </c>
      <c r="D124" s="315"/>
      <c r="E124" s="315"/>
      <c r="F124" s="315"/>
      <c r="G124" s="315"/>
      <c r="H124" s="315"/>
      <c r="I124" s="332" t="s">
        <v>14</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534"/>
      <c r="J128" s="534"/>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t="s">
        <v>14</v>
      </c>
      <c r="J134" s="332" t="s">
        <v>14</v>
      </c>
    </row>
    <row r="135" spans="2:10">
      <c r="C135" s="2" t="s">
        <v>398</v>
      </c>
      <c r="D135" s="2"/>
      <c r="E135" s="2"/>
      <c r="F135" s="312"/>
      <c r="G135" s="312"/>
      <c r="H135" s="312"/>
      <c r="I135" s="332" t="s">
        <v>14</v>
      </c>
      <c r="J135" s="332" t="s">
        <v>14</v>
      </c>
    </row>
    <row r="136" spans="2:10">
      <c r="C136" s="2" t="s">
        <v>399</v>
      </c>
      <c r="D136" s="2"/>
      <c r="E136" s="2"/>
      <c r="F136" s="312"/>
      <c r="G136" s="312"/>
      <c r="H136" s="312"/>
      <c r="I136" s="332" t="s">
        <v>14</v>
      </c>
      <c r="J136" s="332" t="s">
        <v>14</v>
      </c>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332" t="s">
        <v>14</v>
      </c>
      <c r="J139" s="332" t="s">
        <v>14</v>
      </c>
    </row>
    <row r="140" spans="2:10">
      <c r="C140" s="2" t="s">
        <v>402</v>
      </c>
      <c r="D140" s="2"/>
      <c r="E140" s="2"/>
      <c r="F140" s="312"/>
      <c r="G140" s="312"/>
      <c r="H140" s="312"/>
      <c r="I140" s="332" t="s">
        <v>14</v>
      </c>
      <c r="J140" s="332" t="s">
        <v>14</v>
      </c>
    </row>
    <row r="141" spans="2:10">
      <c r="C141" s="312" t="s">
        <v>403</v>
      </c>
      <c r="D141" s="312"/>
      <c r="E141" s="312"/>
      <c r="F141" s="312"/>
      <c r="G141" s="312"/>
      <c r="H141" s="312"/>
      <c r="I141" s="332" t="s">
        <v>14</v>
      </c>
      <c r="J141" s="332" t="s">
        <v>14</v>
      </c>
    </row>
    <row r="142" spans="2:10">
      <c r="C142" s="312" t="s">
        <v>404</v>
      </c>
      <c r="D142" s="312"/>
      <c r="E142" s="312"/>
      <c r="F142" s="312"/>
      <c r="G142" s="312"/>
      <c r="H142" s="312"/>
      <c r="I142" s="332" t="s">
        <v>14</v>
      </c>
      <c r="J142" s="332" t="s">
        <v>14</v>
      </c>
    </row>
    <row r="143" spans="2:10">
      <c r="C143" s="312" t="s">
        <v>405</v>
      </c>
      <c r="D143" s="312"/>
      <c r="E143" s="312"/>
      <c r="F143" s="312"/>
      <c r="G143" s="312"/>
      <c r="H143" s="312"/>
      <c r="I143" s="332" t="s">
        <v>14</v>
      </c>
      <c r="J143" s="332" t="s">
        <v>14</v>
      </c>
    </row>
    <row r="144" spans="2:10">
      <c r="C144" s="2" t="s">
        <v>406</v>
      </c>
      <c r="D144" s="2"/>
      <c r="E144" s="2"/>
      <c r="F144" s="312"/>
      <c r="G144" s="312"/>
      <c r="H144" s="312"/>
      <c r="I144" s="332" t="s">
        <v>14</v>
      </c>
      <c r="J144" s="332" t="s">
        <v>14</v>
      </c>
    </row>
    <row r="145" spans="3:10">
      <c r="C145" s="2" t="s">
        <v>407</v>
      </c>
      <c r="D145" s="2"/>
      <c r="E145" s="2"/>
      <c r="F145" s="312"/>
      <c r="G145" s="312"/>
      <c r="H145" s="312"/>
      <c r="I145" s="332" t="s">
        <v>14</v>
      </c>
      <c r="J145" s="332" t="s">
        <v>14</v>
      </c>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2" t="s">
        <v>14</v>
      </c>
      <c r="J148" s="332" t="s">
        <v>14</v>
      </c>
    </row>
    <row r="149" spans="3:10">
      <c r="C149" s="312" t="s">
        <v>411</v>
      </c>
      <c r="D149" s="312"/>
      <c r="E149" s="312"/>
      <c r="F149" s="312"/>
      <c r="G149" s="312"/>
      <c r="H149" s="312"/>
      <c r="I149" s="332" t="s">
        <v>14</v>
      </c>
      <c r="J149" s="332" t="s">
        <v>14</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2" t="s">
        <v>14</v>
      </c>
      <c r="J154" s="332" t="s">
        <v>14</v>
      </c>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2" t="s">
        <v>14</v>
      </c>
      <c r="J156" s="332" t="s">
        <v>14</v>
      </c>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2" t="s">
        <v>14</v>
      </c>
      <c r="J162" s="332" t="s">
        <v>14</v>
      </c>
    </row>
    <row r="163" spans="3:10">
      <c r="C163" s="312" t="s">
        <v>425</v>
      </c>
      <c r="D163" s="312"/>
      <c r="E163" s="312"/>
      <c r="F163" s="312"/>
      <c r="G163" s="312"/>
      <c r="H163" s="312"/>
      <c r="I163" s="332" t="s">
        <v>14</v>
      </c>
      <c r="J163" s="332" t="s">
        <v>14</v>
      </c>
    </row>
    <row r="164" spans="3:10">
      <c r="C164" s="312" t="s">
        <v>426</v>
      </c>
      <c r="D164" s="312"/>
      <c r="E164" s="312"/>
      <c r="F164" s="312"/>
      <c r="G164" s="312"/>
      <c r="H164" s="312"/>
      <c r="I164" s="332" t="s">
        <v>14</v>
      </c>
      <c r="J164" s="332" t="s">
        <v>14</v>
      </c>
    </row>
    <row r="165" spans="3:10">
      <c r="C165" s="315" t="s">
        <v>427</v>
      </c>
      <c r="D165" s="315"/>
      <c r="E165" s="315"/>
      <c r="F165" s="315"/>
      <c r="G165" s="315"/>
      <c r="H165" s="315"/>
      <c r="I165" s="332" t="s">
        <v>14</v>
      </c>
      <c r="J165" s="332" t="s">
        <v>14</v>
      </c>
    </row>
    <row r="166" spans="3:10">
      <c r="C166" s="315" t="s">
        <v>428</v>
      </c>
      <c r="D166" s="315"/>
      <c r="E166" s="315"/>
      <c r="F166" s="315"/>
      <c r="G166" s="315"/>
      <c r="H166" s="315"/>
      <c r="I166" s="332" t="s">
        <v>14</v>
      </c>
      <c r="J166" s="332" t="s">
        <v>14</v>
      </c>
    </row>
    <row r="167" spans="3:10">
      <c r="C167" s="312" t="s">
        <v>429</v>
      </c>
      <c r="D167" s="312"/>
      <c r="E167" s="312"/>
      <c r="F167" s="312"/>
      <c r="G167" s="312"/>
      <c r="H167" s="312"/>
      <c r="I167" s="332" t="s">
        <v>14</v>
      </c>
      <c r="J167" s="332" t="s">
        <v>14</v>
      </c>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2" t="s">
        <v>14</v>
      </c>
      <c r="J170" s="332" t="s">
        <v>14</v>
      </c>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2" t="s">
        <v>14</v>
      </c>
      <c r="J173" s="332" t="s">
        <v>14</v>
      </c>
    </row>
    <row r="174" spans="3:10">
      <c r="C174" s="315" t="s">
        <v>432</v>
      </c>
      <c r="D174" s="315"/>
      <c r="E174" s="315"/>
      <c r="F174" s="315"/>
      <c r="G174" s="315"/>
      <c r="H174" s="315"/>
      <c r="I174" s="332" t="s">
        <v>14</v>
      </c>
      <c r="J174" s="332" t="s">
        <v>14</v>
      </c>
    </row>
    <row r="175" spans="3:10">
      <c r="C175" s="315" t="s">
        <v>433</v>
      </c>
      <c r="D175" s="315"/>
      <c r="E175" s="315"/>
      <c r="F175" s="315"/>
      <c r="G175" s="315"/>
      <c r="H175" s="315"/>
      <c r="I175" s="332" t="s">
        <v>14</v>
      </c>
      <c r="J175" s="332" t="s">
        <v>14</v>
      </c>
    </row>
    <row r="176" spans="3:10">
      <c r="C176" s="315" t="s">
        <v>434</v>
      </c>
      <c r="D176" s="315"/>
      <c r="E176" s="315"/>
      <c r="F176" s="315"/>
      <c r="G176" s="315"/>
      <c r="H176" s="315"/>
      <c r="I176" s="332" t="s">
        <v>14</v>
      </c>
      <c r="J176" s="332" t="s">
        <v>14</v>
      </c>
    </row>
    <row r="177" spans="3:10">
      <c r="C177" s="315" t="s">
        <v>435</v>
      </c>
      <c r="D177" s="315"/>
      <c r="E177" s="315"/>
      <c r="F177" s="315"/>
      <c r="G177" s="315"/>
      <c r="H177" s="315"/>
      <c r="I177" s="332" t="s">
        <v>14</v>
      </c>
      <c r="J177" s="332" t="s">
        <v>14</v>
      </c>
    </row>
    <row r="178" spans="3:10">
      <c r="C178" s="310" t="s">
        <v>422</v>
      </c>
      <c r="D178" s="310"/>
      <c r="E178" s="310"/>
      <c r="F178" s="312"/>
      <c r="G178" s="312"/>
      <c r="H178" s="312"/>
      <c r="I178" s="332" t="s">
        <v>14</v>
      </c>
      <c r="J178" s="332" t="s">
        <v>14</v>
      </c>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2" t="s">
        <v>14</v>
      </c>
      <c r="J187" s="332" t="s">
        <v>14</v>
      </c>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2" t="s">
        <v>14</v>
      </c>
      <c r="J193" s="332" t="s">
        <v>14</v>
      </c>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2" t="s">
        <v>14</v>
      </c>
      <c r="J210" s="332" t="s">
        <v>14</v>
      </c>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v>42004</v>
      </c>
      <c r="J225" s="364" t="s">
        <v>14</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332" t="s">
        <v>14</v>
      </c>
    </row>
    <row r="231" spans="2:10">
      <c r="C231" s="312" t="s">
        <v>477</v>
      </c>
      <c r="D231" s="312"/>
      <c r="E231" s="312"/>
      <c r="F231" s="312"/>
      <c r="G231" s="312"/>
      <c r="H231" s="312"/>
      <c r="I231" s="332" t="s">
        <v>14</v>
      </c>
      <c r="J231" s="332" t="s">
        <v>14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v>42004</v>
      </c>
      <c r="J235" s="364" t="s">
        <v>14</v>
      </c>
    </row>
    <row r="236" spans="2:10">
      <c r="C236" s="308" t="s">
        <v>480</v>
      </c>
      <c r="D236" s="2"/>
      <c r="E236" s="2"/>
      <c r="F236" s="312"/>
      <c r="G236" s="312"/>
      <c r="H236" s="312"/>
      <c r="I236" s="332" t="s">
        <v>14</v>
      </c>
      <c r="J236" s="332" t="s">
        <v>14</v>
      </c>
    </row>
    <row r="237" spans="2:10">
      <c r="C237" s="2" t="s">
        <v>481</v>
      </c>
      <c r="D237" s="2"/>
      <c r="E237" s="2"/>
      <c r="F237" s="312"/>
      <c r="G237" s="312"/>
      <c r="H237" s="312"/>
      <c r="I237" s="364" t="s">
        <v>14</v>
      </c>
      <c r="J237" s="364" t="s">
        <v>14</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14</v>
      </c>
      <c r="J253" s="332" t="s">
        <v>14</v>
      </c>
    </row>
    <row r="254" spans="2:10">
      <c r="C254" s="308" t="s">
        <v>539</v>
      </c>
      <c r="D254" s="2"/>
      <c r="E254" s="2"/>
      <c r="F254" s="312"/>
      <c r="G254" s="312"/>
      <c r="H254" s="312"/>
      <c r="I254" s="364" t="s">
        <v>14</v>
      </c>
      <c r="J254" s="364" t="s">
        <v>14</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14</v>
      </c>
      <c r="J267" s="332" t="s">
        <v>14</v>
      </c>
    </row>
    <row r="268" spans="2:10">
      <c r="C268" s="312" t="s">
        <v>495</v>
      </c>
      <c r="D268" s="312"/>
      <c r="E268" s="312"/>
      <c r="F268" s="312"/>
      <c r="G268" s="312"/>
      <c r="H268" s="312"/>
      <c r="I268" s="332" t="s">
        <v>14</v>
      </c>
      <c r="J268" s="332" t="s">
        <v>14</v>
      </c>
    </row>
    <row r="269" spans="2:10">
      <c r="C269" s="312" t="s">
        <v>496</v>
      </c>
      <c r="D269" s="312"/>
      <c r="E269" s="312"/>
      <c r="F269" s="312"/>
      <c r="G269" s="312"/>
      <c r="H269" s="312"/>
      <c r="I269" s="332" t="s">
        <v>14</v>
      </c>
      <c r="J269" s="332" t="s">
        <v>14</v>
      </c>
    </row>
    <row r="270" spans="2:10">
      <c r="C270" s="312" t="s">
        <v>497</v>
      </c>
      <c r="D270" s="312"/>
      <c r="E270" s="312"/>
      <c r="F270" s="312"/>
      <c r="G270" s="312"/>
      <c r="H270" s="312"/>
      <c r="I270" s="332" t="s">
        <v>14</v>
      </c>
      <c r="J270" s="332" t="s">
        <v>14</v>
      </c>
    </row>
    <row r="271" spans="2:10">
      <c r="C271" s="312" t="s">
        <v>498</v>
      </c>
      <c r="D271" s="312"/>
      <c r="E271" s="312"/>
      <c r="F271" s="312"/>
      <c r="G271" s="312"/>
      <c r="H271" s="312"/>
      <c r="I271" s="332" t="s">
        <v>14</v>
      </c>
      <c r="J271" s="332" t="s">
        <v>14</v>
      </c>
    </row>
    <row r="272" spans="2:10">
      <c r="C272" s="312" t="s">
        <v>499</v>
      </c>
      <c r="D272" s="312"/>
      <c r="E272" s="312"/>
      <c r="F272" s="312"/>
      <c r="G272" s="312"/>
      <c r="H272" s="312"/>
      <c r="I272" s="332" t="s">
        <v>14</v>
      </c>
      <c r="J272" s="332" t="s">
        <v>14</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I291" s="2"/>
      <c r="J291" s="7"/>
      <c r="K291" s="2"/>
      <c r="L291" s="2"/>
      <c r="M291" s="301"/>
      <c r="N291" s="2"/>
      <c r="O291" s="301"/>
    </row>
  </sheetData>
  <sheetProtection selectLockedCells="1"/>
  <mergeCells count="109">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39:D39"/>
    <mergeCell ref="H39:M39"/>
    <mergeCell ref="C40:D40"/>
    <mergeCell ref="H40:M40"/>
    <mergeCell ref="C41:D41"/>
    <mergeCell ref="H41:M41"/>
    <mergeCell ref="C24:D24"/>
    <mergeCell ref="F24:G24"/>
    <mergeCell ref="K24:M24"/>
    <mergeCell ref="C27:M34"/>
    <mergeCell ref="H37:M37"/>
    <mergeCell ref="C38:D38"/>
    <mergeCell ref="H38:M38"/>
    <mergeCell ref="C45:D45"/>
    <mergeCell ref="H45:M45"/>
    <mergeCell ref="C46:D46"/>
    <mergeCell ref="H46:M46"/>
    <mergeCell ref="C47:D47"/>
    <mergeCell ref="H47:M47"/>
    <mergeCell ref="C42:D42"/>
    <mergeCell ref="H42:M42"/>
    <mergeCell ref="C43:D43"/>
    <mergeCell ref="H43:M43"/>
    <mergeCell ref="C44:D44"/>
    <mergeCell ref="H44:M44"/>
    <mergeCell ref="C51:D51"/>
    <mergeCell ref="H51:M51"/>
    <mergeCell ref="C52:D52"/>
    <mergeCell ref="H52:M52"/>
    <mergeCell ref="C53:D53"/>
    <mergeCell ref="H53:M53"/>
    <mergeCell ref="C48:D48"/>
    <mergeCell ref="H48:M48"/>
    <mergeCell ref="C49:D49"/>
    <mergeCell ref="H49:M49"/>
    <mergeCell ref="C50:D50"/>
    <mergeCell ref="H50:M50"/>
    <mergeCell ref="I65:J65"/>
    <mergeCell ref="C57:D57"/>
    <mergeCell ref="H57:M57"/>
    <mergeCell ref="C58:D58"/>
    <mergeCell ref="H58:M58"/>
    <mergeCell ref="I63:J63"/>
    <mergeCell ref="I64:J64"/>
    <mergeCell ref="C54:D54"/>
    <mergeCell ref="H54:M54"/>
    <mergeCell ref="C55:D55"/>
    <mergeCell ref="H55:M55"/>
    <mergeCell ref="C56:D56"/>
    <mergeCell ref="H56:M56"/>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73">
    <tabColor rgb="FF00B0F0"/>
  </sheetPr>
  <dimension ref="B1:U291"/>
  <sheetViews>
    <sheetView topLeftCell="A5" workbookViewId="0">
      <selection activeCell="L12" sqref="L12:M12"/>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Detail!A46</f>
        <v>Danville VA Hospital Site - Phase 2</v>
      </c>
      <c r="D2" s="341"/>
      <c r="E2" s="341"/>
      <c r="F2" s="120"/>
      <c r="G2" s="120"/>
      <c r="H2" s="120"/>
      <c r="I2" s="120"/>
      <c r="J2" s="120"/>
      <c r="K2" s="120"/>
      <c r="L2" s="120"/>
      <c r="M2" s="121"/>
      <c r="N2" s="319"/>
    </row>
    <row r="3" spans="2:21" s="122" customFormat="1" ht="20.25" customHeight="1" thickBot="1">
      <c r="B3" s="319"/>
      <c r="C3" s="136" t="str">
        <f>Detail!B46</f>
        <v>D Lyon</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Detail!V46</f>
        <v>Special Needs (PSH)</v>
      </c>
      <c r="G6" s="836"/>
      <c r="H6" s="357"/>
      <c r="I6" s="833" t="s">
        <v>219</v>
      </c>
      <c r="J6" s="834"/>
      <c r="K6" s="834"/>
      <c r="L6" s="837" t="str">
        <f>Detail!I46</f>
        <v>LIHTC - 9%</v>
      </c>
      <c r="M6" s="838"/>
      <c r="N6" s="318"/>
    </row>
    <row r="7" spans="2:21" ht="17.25" customHeight="1">
      <c r="B7" s="318"/>
      <c r="C7" s="796" t="s">
        <v>214</v>
      </c>
      <c r="D7" s="797"/>
      <c r="E7" s="352"/>
      <c r="F7" s="819" t="str">
        <f>Detail!C46</f>
        <v>Danville</v>
      </c>
      <c r="G7" s="820"/>
      <c r="H7" s="357"/>
      <c r="I7" s="796" t="s">
        <v>183</v>
      </c>
      <c r="J7" s="797"/>
      <c r="K7" s="797"/>
      <c r="L7" s="830" t="str">
        <f>Detail!J46</f>
        <v>Local: State Funding</v>
      </c>
      <c r="M7" s="831"/>
      <c r="N7" s="318"/>
    </row>
    <row r="8" spans="2:21">
      <c r="B8" s="318"/>
      <c r="C8" s="796" t="s">
        <v>9</v>
      </c>
      <c r="D8" s="797"/>
      <c r="E8" s="352"/>
      <c r="F8" s="819" t="str">
        <f>Detail!D46</f>
        <v>New Construction</v>
      </c>
      <c r="G8" s="820"/>
      <c r="H8" s="357"/>
      <c r="I8" s="796" t="s">
        <v>184</v>
      </c>
      <c r="J8" s="797"/>
      <c r="K8" s="797"/>
      <c r="L8" s="830" t="str">
        <f>Detail!K46</f>
        <v>Grant Funding - Public or Private</v>
      </c>
      <c r="M8" s="831"/>
      <c r="N8" s="318"/>
    </row>
    <row r="9" spans="2:21">
      <c r="B9" s="318"/>
      <c r="C9" s="796" t="s">
        <v>215</v>
      </c>
      <c r="D9" s="797"/>
      <c r="E9" s="353"/>
      <c r="F9" s="832">
        <f>Detail!T46</f>
        <v>65</v>
      </c>
      <c r="G9" s="820"/>
      <c r="H9" s="357"/>
      <c r="I9" s="796" t="s">
        <v>185</v>
      </c>
      <c r="J9" s="797"/>
      <c r="K9" s="797"/>
      <c r="L9" s="830" t="str">
        <f>Detail!L46</f>
        <v>TBD</v>
      </c>
      <c r="M9" s="831"/>
      <c r="N9" s="318"/>
    </row>
    <row r="10" spans="2:21" ht="17.25" customHeight="1">
      <c r="B10" s="318"/>
      <c r="C10" s="796" t="s">
        <v>216</v>
      </c>
      <c r="D10" s="797"/>
      <c r="E10" s="352"/>
      <c r="F10" s="819" t="str">
        <f>Detail!V46</f>
        <v>Special Needs (PSH)</v>
      </c>
      <c r="G10" s="820"/>
      <c r="H10" s="357"/>
      <c r="I10" s="796" t="s">
        <v>44</v>
      </c>
      <c r="J10" s="797"/>
      <c r="K10" s="797"/>
      <c r="L10" s="800">
        <f>Detail!AB46</f>
        <v>20000000</v>
      </c>
      <c r="M10" s="801"/>
      <c r="N10" s="318"/>
    </row>
    <row r="11" spans="2:21" ht="17.25" customHeight="1">
      <c r="B11" s="318"/>
      <c r="C11" s="361"/>
      <c r="D11" s="362"/>
      <c r="E11" s="352"/>
      <c r="F11" s="819" t="str">
        <f>Detail!W46</f>
        <v>Homeless</v>
      </c>
      <c r="G11" s="820"/>
      <c r="H11" s="357"/>
      <c r="I11" s="796" t="s">
        <v>602</v>
      </c>
      <c r="J11" s="797"/>
      <c r="K11" s="530"/>
      <c r="L11" s="828" t="str">
        <f>Detail!AG46</f>
        <v>TBD</v>
      </c>
      <c r="M11" s="829"/>
      <c r="N11" s="318"/>
    </row>
    <row r="12" spans="2:21">
      <c r="B12" s="318"/>
      <c r="C12" s="361"/>
      <c r="D12" s="362"/>
      <c r="E12" s="352"/>
      <c r="F12" s="819" t="str">
        <f>Detail!X46</f>
        <v>Vets</v>
      </c>
      <c r="G12" s="820"/>
      <c r="H12" s="357"/>
      <c r="I12" s="796" t="s">
        <v>603</v>
      </c>
      <c r="J12" s="797"/>
      <c r="K12" s="797"/>
      <c r="L12" s="828" t="str">
        <f>Detail!N46</f>
        <v>TBD</v>
      </c>
      <c r="M12" s="829"/>
      <c r="N12" s="318"/>
    </row>
    <row r="13" spans="2:21" ht="17.25" customHeight="1">
      <c r="B13" s="318"/>
      <c r="C13" s="796" t="s">
        <v>525</v>
      </c>
      <c r="D13" s="797"/>
      <c r="E13" s="354"/>
      <c r="F13" s="827" t="str">
        <f>Detail!AM46</f>
        <v>MHMG</v>
      </c>
      <c r="G13" s="820"/>
      <c r="H13" s="357"/>
      <c r="I13" s="796" t="s">
        <v>256</v>
      </c>
      <c r="J13" s="797"/>
      <c r="K13" s="797"/>
      <c r="L13" s="800">
        <f>Detail!AC46</f>
        <v>18500000</v>
      </c>
      <c r="M13" s="801"/>
      <c r="N13" s="318"/>
    </row>
    <row r="14" spans="2:21">
      <c r="B14" s="318"/>
      <c r="C14" s="796" t="s">
        <v>172</v>
      </c>
      <c r="D14" s="797"/>
      <c r="E14" s="352"/>
      <c r="F14" s="819" t="str">
        <f>Detail!Z46</f>
        <v>Service Coordination</v>
      </c>
      <c r="G14" s="820"/>
      <c r="H14" s="357"/>
      <c r="I14" s="796" t="s">
        <v>257</v>
      </c>
      <c r="J14" s="797"/>
      <c r="K14" s="797"/>
      <c r="L14" s="800">
        <f>Detail!AF46</f>
        <v>17279000</v>
      </c>
      <c r="M14" s="801"/>
      <c r="N14" s="318"/>
    </row>
    <row r="15" spans="2:21" ht="17.25" customHeight="1" thickBot="1">
      <c r="B15" s="318"/>
      <c r="C15" s="796" t="s">
        <v>217</v>
      </c>
      <c r="D15" s="797"/>
      <c r="E15" s="355"/>
      <c r="F15" s="819" t="str">
        <f>Detail!AA46</f>
        <v>TBD</v>
      </c>
      <c r="G15" s="820"/>
      <c r="H15" s="357"/>
      <c r="I15" s="821" t="s">
        <v>255</v>
      </c>
      <c r="J15" s="822"/>
      <c r="K15" s="822"/>
      <c r="L15" s="823">
        <f>Detail!AD46</f>
        <v>1850000</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Detail!AH46</f>
        <v>1737500</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Detail!AJ46</f>
        <v>1303125</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Detail!AI46</f>
        <v>434375</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6" thickTop="1">
      <c r="B21" s="320"/>
      <c r="C21" s="804" t="s">
        <v>46</v>
      </c>
      <c r="D21" s="805"/>
      <c r="E21" s="349"/>
      <c r="F21" s="806" t="str">
        <f>Detail!F46</f>
        <v>Feasibility</v>
      </c>
      <c r="G21" s="807"/>
      <c r="H21" s="359"/>
      <c r="I21" s="804" t="s">
        <v>226</v>
      </c>
      <c r="J21" s="805"/>
      <c r="K21" s="805"/>
      <c r="L21" s="808">
        <f>Detail!Q46</f>
        <v>0</v>
      </c>
      <c r="M21" s="809"/>
      <c r="N21" s="320"/>
    </row>
    <row r="22" spans="2:21" s="88" customFormat="1" ht="17.25" customHeight="1">
      <c r="B22" s="320"/>
      <c r="C22" s="796" t="s">
        <v>223</v>
      </c>
      <c r="D22" s="797"/>
      <c r="E22" s="348"/>
      <c r="F22" s="798">
        <f>Detail!P46</f>
        <v>41974</v>
      </c>
      <c r="G22" s="799"/>
      <c r="H22" s="359"/>
      <c r="I22" s="796" t="s">
        <v>227</v>
      </c>
      <c r="J22" s="797"/>
      <c r="K22" s="797"/>
      <c r="L22" s="800">
        <f>Detail!AO46+Detail!AP46+Detail!AQ46+Detail!AR46</f>
        <v>0</v>
      </c>
      <c r="M22" s="801"/>
      <c r="N22" s="320"/>
    </row>
    <row r="23" spans="2:21" s="88" customFormat="1" ht="17.25" customHeight="1">
      <c r="B23" s="320"/>
      <c r="C23" s="796" t="s">
        <v>224</v>
      </c>
      <c r="D23" s="797"/>
      <c r="E23" s="348"/>
      <c r="F23" s="798">
        <f>Detail!R46</f>
        <v>42005</v>
      </c>
      <c r="G23" s="799"/>
      <c r="H23" s="359"/>
      <c r="I23" s="796" t="s">
        <v>228</v>
      </c>
      <c r="J23" s="797"/>
      <c r="K23" s="797"/>
      <c r="L23" s="800">
        <f>Detail!BG46</f>
        <v>0</v>
      </c>
      <c r="M23" s="801"/>
      <c r="N23" s="320"/>
    </row>
    <row r="24" spans="2:21" s="88" customFormat="1" ht="17.25" customHeight="1" thickBot="1">
      <c r="B24" s="320"/>
      <c r="C24" s="778" t="s">
        <v>225</v>
      </c>
      <c r="D24" s="779"/>
      <c r="E24" s="533"/>
      <c r="F24" s="780">
        <f>Detail!S46</f>
        <v>42339</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Danville VA Hospital Site - Phase 2</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c r="B38" s="322"/>
      <c r="C38" s="792" t="s">
        <v>514</v>
      </c>
      <c r="D38" s="793"/>
      <c r="E38" s="344"/>
      <c r="F38" s="368" t="str">
        <f>I92</f>
        <v>TBD</v>
      </c>
      <c r="G38" s="368" t="str">
        <f>J92</f>
        <v>TBD</v>
      </c>
      <c r="H38" s="794"/>
      <c r="I38" s="794"/>
      <c r="J38" s="794"/>
      <c r="K38" s="794"/>
      <c r="L38" s="794"/>
      <c r="M38" s="795"/>
      <c r="N38" s="322"/>
    </row>
    <row r="39" spans="2:19" s="300" customFormat="1" ht="12.75" customHeight="1">
      <c r="B39" s="322"/>
      <c r="C39" s="774" t="s">
        <v>516</v>
      </c>
      <c r="D39" s="775"/>
      <c r="E39" s="532"/>
      <c r="F39" s="368" t="str">
        <f>I94</f>
        <v>TBD</v>
      </c>
      <c r="G39" s="369" t="str">
        <f>J94</f>
        <v>TBD</v>
      </c>
      <c r="H39" s="772"/>
      <c r="I39" s="772"/>
      <c r="J39" s="772"/>
      <c r="K39" s="772"/>
      <c r="L39" s="772"/>
      <c r="M39" s="773"/>
      <c r="N39" s="322"/>
    </row>
    <row r="40" spans="2:19" s="300" customFormat="1">
      <c r="B40" s="322"/>
      <c r="C40" s="774" t="s">
        <v>344</v>
      </c>
      <c r="D40" s="775"/>
      <c r="E40" s="532"/>
      <c r="F40" s="368" t="str">
        <f>I96</f>
        <v>TBD</v>
      </c>
      <c r="G40" s="368" t="str">
        <f>J96</f>
        <v>TBD</v>
      </c>
      <c r="H40" s="772"/>
      <c r="I40" s="772"/>
      <c r="J40" s="772"/>
      <c r="K40" s="772"/>
      <c r="L40" s="772"/>
      <c r="M40" s="773"/>
      <c r="N40" s="322"/>
    </row>
    <row r="41" spans="2:19" s="300" customFormat="1" ht="12.75" customHeight="1">
      <c r="B41" s="322"/>
      <c r="C41" s="774" t="s">
        <v>535</v>
      </c>
      <c r="D41" s="775"/>
      <c r="E41" s="532"/>
      <c r="F41" s="368" t="str">
        <f>'Danville VA Hospital 2'!I102</f>
        <v>TBD</v>
      </c>
      <c r="G41" s="368" t="str">
        <f>J102</f>
        <v>TBD</v>
      </c>
      <c r="H41" s="772"/>
      <c r="I41" s="772"/>
      <c r="J41" s="772"/>
      <c r="K41" s="772"/>
      <c r="L41" s="772"/>
      <c r="M41" s="773"/>
      <c r="N41" s="322"/>
      <c r="P41" s="358"/>
      <c r="Q41" s="358"/>
      <c r="R41" s="358"/>
      <c r="S41" s="358"/>
    </row>
    <row r="42" spans="2:19" s="300" customFormat="1">
      <c r="B42" s="322"/>
      <c r="C42" s="774" t="s">
        <v>536</v>
      </c>
      <c r="D42" s="775"/>
      <c r="E42" s="532"/>
      <c r="F42" s="368" t="str">
        <f>I110</f>
        <v>TBD</v>
      </c>
      <c r="G42" s="368" t="str">
        <f>J110</f>
        <v>TBD</v>
      </c>
      <c r="H42" s="772"/>
      <c r="I42" s="772"/>
      <c r="J42" s="772"/>
      <c r="K42" s="772"/>
      <c r="L42" s="772"/>
      <c r="M42" s="773"/>
      <c r="N42" s="322"/>
      <c r="P42" s="358"/>
      <c r="Q42" s="358"/>
      <c r="R42" s="358"/>
      <c r="S42" s="358"/>
    </row>
    <row r="43" spans="2:19" s="300" customFormat="1">
      <c r="B43" s="322"/>
      <c r="C43" s="774" t="s">
        <v>517</v>
      </c>
      <c r="D43" s="775"/>
      <c r="E43" s="532"/>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532"/>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532"/>
      <c r="F45" s="368" t="str">
        <f>I200</f>
        <v>TBD</v>
      </c>
      <c r="G45" s="368" t="str">
        <f>J200</f>
        <v>TBD</v>
      </c>
      <c r="H45" s="772"/>
      <c r="I45" s="772"/>
      <c r="J45" s="772"/>
      <c r="K45" s="772"/>
      <c r="L45" s="772"/>
      <c r="M45" s="773"/>
      <c r="N45" s="322"/>
    </row>
    <row r="46" spans="2:19" s="300" customFormat="1">
      <c r="B46" s="322"/>
      <c r="C46" s="774" t="s">
        <v>538</v>
      </c>
      <c r="D46" s="775"/>
      <c r="E46" s="532"/>
      <c r="F46" s="368" t="str">
        <f>I232</f>
        <v>TBD</v>
      </c>
      <c r="G46" s="368" t="str">
        <f>J232</f>
        <v>TBD</v>
      </c>
      <c r="H46" s="772"/>
      <c r="I46" s="772"/>
      <c r="J46" s="772"/>
      <c r="K46" s="772"/>
      <c r="L46" s="772"/>
      <c r="M46" s="773"/>
      <c r="N46" s="322"/>
    </row>
    <row r="47" spans="2:19" s="300" customFormat="1">
      <c r="B47" s="322"/>
      <c r="C47" s="774" t="s">
        <v>55</v>
      </c>
      <c r="D47" s="775"/>
      <c r="E47" s="532"/>
      <c r="F47" s="368">
        <f>I225</f>
        <v>42004</v>
      </c>
      <c r="G47" s="368" t="str">
        <f>J225</f>
        <v>TBD</v>
      </c>
      <c r="H47" s="772"/>
      <c r="I47" s="772"/>
      <c r="J47" s="772"/>
      <c r="K47" s="772"/>
      <c r="L47" s="772"/>
      <c r="M47" s="773"/>
      <c r="N47" s="322"/>
    </row>
    <row r="48" spans="2:19" s="300" customFormat="1">
      <c r="B48" s="322"/>
      <c r="C48" s="774" t="s">
        <v>346</v>
      </c>
      <c r="D48" s="775"/>
      <c r="E48" s="532"/>
      <c r="F48" s="368">
        <f>I235</f>
        <v>42004</v>
      </c>
      <c r="G48" s="368" t="str">
        <f>J235</f>
        <v>TBD</v>
      </c>
      <c r="H48" s="772"/>
      <c r="I48" s="772"/>
      <c r="J48" s="772"/>
      <c r="K48" s="772"/>
      <c r="L48" s="772"/>
      <c r="M48" s="773"/>
      <c r="N48" s="322"/>
    </row>
    <row r="49" spans="2:14" s="300" customFormat="1">
      <c r="B49" s="322"/>
      <c r="C49" s="774" t="s">
        <v>347</v>
      </c>
      <c r="D49" s="775"/>
      <c r="E49" s="532"/>
      <c r="F49" s="368" t="str">
        <f>I237</f>
        <v>TBD</v>
      </c>
      <c r="G49" s="368" t="str">
        <f>J237</f>
        <v>TBD</v>
      </c>
      <c r="H49" s="772"/>
      <c r="I49" s="772"/>
      <c r="J49" s="772"/>
      <c r="K49" s="772"/>
      <c r="L49" s="772"/>
      <c r="M49" s="773"/>
      <c r="N49" s="322"/>
    </row>
    <row r="50" spans="2:14" s="300" customFormat="1">
      <c r="B50" s="322"/>
      <c r="C50" s="774" t="s">
        <v>348</v>
      </c>
      <c r="D50" s="775"/>
      <c r="E50" s="532"/>
      <c r="F50" s="368" t="str">
        <f>I254</f>
        <v>TBD</v>
      </c>
      <c r="G50" s="368" t="str">
        <f>J254</f>
        <v>TBD</v>
      </c>
      <c r="H50" s="772"/>
      <c r="I50" s="772"/>
      <c r="J50" s="772"/>
      <c r="K50" s="772"/>
      <c r="L50" s="772"/>
      <c r="M50" s="773"/>
      <c r="N50" s="322"/>
    </row>
    <row r="51" spans="2:14" s="300" customFormat="1">
      <c r="B51" s="322"/>
      <c r="C51" s="774" t="s">
        <v>65</v>
      </c>
      <c r="D51" s="775"/>
      <c r="E51" s="532"/>
      <c r="F51" s="368" t="str">
        <f>I255</f>
        <v>TBD</v>
      </c>
      <c r="G51" s="368" t="str">
        <f>J255</f>
        <v>TBD</v>
      </c>
      <c r="H51" s="772"/>
      <c r="I51" s="772"/>
      <c r="J51" s="772"/>
      <c r="K51" s="772"/>
      <c r="L51" s="772"/>
      <c r="M51" s="773"/>
      <c r="N51" s="322"/>
    </row>
    <row r="52" spans="2:14" s="300" customFormat="1">
      <c r="B52" s="322"/>
      <c r="C52" s="774" t="s">
        <v>540</v>
      </c>
      <c r="D52" s="775"/>
      <c r="E52" s="532"/>
      <c r="F52" s="368" t="str">
        <f>I273</f>
        <v>TBD</v>
      </c>
      <c r="G52" s="368" t="str">
        <f>J273</f>
        <v>TBD</v>
      </c>
      <c r="H52" s="772"/>
      <c r="I52" s="772"/>
      <c r="J52" s="772"/>
      <c r="K52" s="772"/>
      <c r="L52" s="772"/>
      <c r="M52" s="773"/>
      <c r="N52" s="322"/>
    </row>
    <row r="53" spans="2:14" s="300" customFormat="1">
      <c r="B53" s="322"/>
      <c r="C53" s="774" t="s">
        <v>542</v>
      </c>
      <c r="D53" s="775"/>
      <c r="E53" s="532"/>
      <c r="F53" s="368" t="str">
        <f>I276</f>
        <v>TBD</v>
      </c>
      <c r="G53" s="368" t="str">
        <f>J276</f>
        <v>TBD</v>
      </c>
      <c r="H53" s="772"/>
      <c r="I53" s="772"/>
      <c r="J53" s="772"/>
      <c r="K53" s="772"/>
      <c r="L53" s="772"/>
      <c r="M53" s="773"/>
      <c r="N53" s="322"/>
    </row>
    <row r="54" spans="2:14" s="300" customFormat="1">
      <c r="B54" s="322"/>
      <c r="C54" s="774">
        <v>8609</v>
      </c>
      <c r="D54" s="775"/>
      <c r="E54" s="532"/>
      <c r="F54" s="368" t="str">
        <f>I289</f>
        <v>TBD</v>
      </c>
      <c r="G54" s="368" t="str">
        <f>J289</f>
        <v>TBD</v>
      </c>
      <c r="H54" s="772"/>
      <c r="I54" s="772"/>
      <c r="J54" s="772"/>
      <c r="K54" s="772"/>
      <c r="L54" s="772"/>
      <c r="M54" s="773"/>
      <c r="N54" s="322"/>
    </row>
    <row r="55" spans="2:14" s="300" customForma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531"/>
      <c r="F56" s="338"/>
      <c r="G56" s="338"/>
      <c r="H56" s="772"/>
      <c r="I56" s="772"/>
      <c r="J56" s="772"/>
      <c r="K56" s="772"/>
      <c r="L56" s="772"/>
      <c r="M56" s="773"/>
      <c r="N56" s="322"/>
    </row>
    <row r="57" spans="2:14" s="300" customFormat="1" ht="14">
      <c r="B57" s="322"/>
      <c r="C57" s="770" t="s">
        <v>522</v>
      </c>
      <c r="D57" s="771"/>
      <c r="E57" s="531"/>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30.75" customHeight="1" thickBot="1">
      <c r="C63" s="538" t="s">
        <v>350</v>
      </c>
      <c r="D63" s="538"/>
      <c r="E63" s="308"/>
      <c r="F63" s="308"/>
      <c r="H63" s="363"/>
      <c r="I63" s="847" t="str">
        <f>C2</f>
        <v>Danville VA Hospital Site - Phase 2</v>
      </c>
      <c r="J63" s="848"/>
      <c r="K63" s="17"/>
      <c r="L63" s="17"/>
      <c r="M63" s="8"/>
      <c r="N63" s="17"/>
    </row>
    <row r="64" spans="2:14" ht="16" thickBot="1">
      <c r="C64" s="308" t="s">
        <v>351</v>
      </c>
      <c r="D64" s="308"/>
      <c r="E64" s="308"/>
      <c r="F64" s="308"/>
      <c r="H64" s="363"/>
      <c r="I64" s="768" t="str">
        <f>F7</f>
        <v>Danville</v>
      </c>
      <c r="J64" s="769"/>
      <c r="K64" s="17"/>
      <c r="L64" s="17"/>
      <c r="M64" s="8"/>
      <c r="N64" s="17"/>
    </row>
    <row r="65" spans="2:15" ht="16" thickBot="1">
      <c r="C65" s="308" t="s">
        <v>352</v>
      </c>
      <c r="D65" s="308"/>
      <c r="E65" s="308"/>
      <c r="F65" s="308"/>
      <c r="H65" s="363"/>
      <c r="I65" s="768" t="str">
        <f>C3</f>
        <v>D Lyon</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t="s">
        <v>14</v>
      </c>
      <c r="J70" s="332" t="s">
        <v>14</v>
      </c>
    </row>
    <row r="71" spans="2:15">
      <c r="C71" s="2" t="s">
        <v>356</v>
      </c>
      <c r="D71" s="2"/>
      <c r="E71" s="2"/>
      <c r="F71" s="2"/>
      <c r="G71" s="2"/>
      <c r="H71" s="2"/>
      <c r="I71" s="332" t="s">
        <v>14</v>
      </c>
      <c r="J71" s="332" t="s">
        <v>14</v>
      </c>
    </row>
    <row r="72" spans="2:15">
      <c r="C72" s="2" t="s">
        <v>357</v>
      </c>
      <c r="D72" s="2"/>
      <c r="E72" s="2"/>
      <c r="F72" s="2"/>
      <c r="G72" s="2"/>
      <c r="H72" s="2"/>
      <c r="I72" s="332" t="s">
        <v>14</v>
      </c>
      <c r="J72" s="332" t="s">
        <v>14</v>
      </c>
    </row>
    <row r="73" spans="2:15">
      <c r="C73" s="2" t="s">
        <v>358</v>
      </c>
      <c r="D73" s="2"/>
      <c r="E73" s="2"/>
      <c r="F73" s="2"/>
      <c r="G73" s="2"/>
      <c r="H73" s="2"/>
      <c r="I73" s="332" t="s">
        <v>14</v>
      </c>
      <c r="J73" s="332" t="s">
        <v>14</v>
      </c>
    </row>
    <row r="74" spans="2:15">
      <c r="C74" s="312" t="s">
        <v>359</v>
      </c>
      <c r="D74" s="312"/>
      <c r="E74" s="312"/>
      <c r="F74" s="312"/>
      <c r="G74" s="312"/>
      <c r="H74" s="312"/>
      <c r="I74" s="332" t="s">
        <v>14</v>
      </c>
      <c r="J74" s="332" t="s">
        <v>14</v>
      </c>
    </row>
    <row r="75" spans="2:15">
      <c r="C75" s="2" t="s">
        <v>360</v>
      </c>
      <c r="D75" s="2"/>
      <c r="E75" s="2"/>
      <c r="F75" s="312"/>
      <c r="G75" s="312"/>
      <c r="H75" s="312"/>
      <c r="I75" s="332" t="s">
        <v>14</v>
      </c>
      <c r="J75" s="332" t="s">
        <v>14</v>
      </c>
    </row>
    <row r="76" spans="2:15">
      <c r="C76" s="2" t="s">
        <v>361</v>
      </c>
      <c r="D76" s="2"/>
      <c r="E76" s="2"/>
      <c r="F76" s="312"/>
      <c r="G76" s="312"/>
      <c r="H76" s="312"/>
      <c r="I76" s="332" t="s">
        <v>14</v>
      </c>
      <c r="J76" s="332" t="s">
        <v>14</v>
      </c>
    </row>
    <row r="77" spans="2:15">
      <c r="C77" s="2" t="s">
        <v>362</v>
      </c>
      <c r="D77" s="2"/>
      <c r="E77" s="2"/>
      <c r="F77" s="312"/>
      <c r="G77" s="312"/>
      <c r="H77" s="312"/>
      <c r="I77" s="534"/>
      <c r="J77" s="534"/>
    </row>
    <row r="78" spans="2:15">
      <c r="C78" s="312" t="s">
        <v>363</v>
      </c>
      <c r="D78" s="312"/>
      <c r="E78" s="312"/>
      <c r="F78" s="312"/>
      <c r="G78" s="312"/>
      <c r="H78" s="312"/>
      <c r="I78" s="332" t="s">
        <v>14</v>
      </c>
      <c r="J78" s="332" t="s">
        <v>14</v>
      </c>
    </row>
    <row r="79" spans="2:15">
      <c r="C79" s="312" t="s">
        <v>364</v>
      </c>
      <c r="D79" s="312"/>
      <c r="E79" s="312"/>
      <c r="F79" s="312"/>
      <c r="G79" s="312"/>
      <c r="H79" s="312"/>
      <c r="I79" s="332" t="s">
        <v>14</v>
      </c>
      <c r="J79" s="332" t="s">
        <v>14</v>
      </c>
    </row>
    <row r="80" spans="2:15">
      <c r="C80" s="312" t="s">
        <v>365</v>
      </c>
      <c r="D80" s="312"/>
      <c r="E80" s="312"/>
      <c r="F80" s="312"/>
      <c r="G80" s="312"/>
      <c r="H80" s="312"/>
      <c r="I80" s="332" t="s">
        <v>14</v>
      </c>
      <c r="J80" s="332" t="s">
        <v>14</v>
      </c>
    </row>
    <row r="81" spans="2:10">
      <c r="C81" s="315" t="s">
        <v>366</v>
      </c>
      <c r="D81" s="315"/>
      <c r="E81" s="315"/>
      <c r="F81" s="314"/>
      <c r="G81" s="314"/>
      <c r="H81" s="314"/>
      <c r="I81" s="332" t="s">
        <v>14</v>
      </c>
      <c r="J81" s="332" t="s">
        <v>14</v>
      </c>
    </row>
    <row r="82" spans="2:10">
      <c r="C82" s="2" t="s">
        <v>367</v>
      </c>
      <c r="D82" s="2"/>
      <c r="E82" s="2"/>
      <c r="F82" s="312"/>
      <c r="G82" s="312"/>
      <c r="H82" s="312"/>
      <c r="I82" s="534"/>
      <c r="J82" s="534"/>
    </row>
    <row r="83" spans="2:10">
      <c r="C83" s="312" t="s">
        <v>368</v>
      </c>
      <c r="D83" s="312"/>
      <c r="E83" s="312"/>
      <c r="F83" s="312"/>
      <c r="G83" s="312"/>
      <c r="H83" s="312"/>
      <c r="I83" s="332" t="s">
        <v>14</v>
      </c>
      <c r="J83" s="332" t="s">
        <v>14</v>
      </c>
    </row>
    <row r="84" spans="2:10">
      <c r="C84" s="312" t="s">
        <v>369</v>
      </c>
      <c r="D84" s="312"/>
      <c r="E84" s="312"/>
      <c r="F84" s="312"/>
      <c r="G84" s="312"/>
      <c r="H84" s="312"/>
      <c r="I84" s="332" t="s">
        <v>14</v>
      </c>
      <c r="J84" s="332" t="s">
        <v>14</v>
      </c>
    </row>
    <row r="85" spans="2:10">
      <c r="C85" s="312" t="s">
        <v>370</v>
      </c>
      <c r="D85" s="312"/>
      <c r="E85" s="312"/>
      <c r="F85" s="312"/>
      <c r="G85" s="312"/>
      <c r="H85" s="312"/>
      <c r="I85" s="332" t="s">
        <v>14</v>
      </c>
      <c r="J85" s="332" t="s">
        <v>14</v>
      </c>
    </row>
    <row r="86" spans="2:10">
      <c r="C86" s="2" t="s">
        <v>371</v>
      </c>
      <c r="D86" s="2"/>
      <c r="E86" s="2"/>
      <c r="F86" s="312"/>
      <c r="G86" s="312"/>
      <c r="H86" s="312"/>
      <c r="I86" s="332" t="s">
        <v>14</v>
      </c>
      <c r="J86" s="332" t="s">
        <v>14</v>
      </c>
    </row>
    <row r="87" spans="2:10">
      <c r="C87" s="2" t="s">
        <v>372</v>
      </c>
      <c r="D87" s="2"/>
      <c r="E87" s="2"/>
      <c r="F87" s="312"/>
      <c r="G87" s="312"/>
      <c r="H87" s="312"/>
      <c r="I87" s="332" t="s">
        <v>14</v>
      </c>
      <c r="J87" s="332" t="s">
        <v>14</v>
      </c>
    </row>
    <row r="88" spans="2:10">
      <c r="C88" s="2" t="s">
        <v>373</v>
      </c>
      <c r="D88" s="2"/>
      <c r="E88" s="2"/>
      <c r="F88" s="312"/>
      <c r="G88" s="312"/>
      <c r="H88" s="312"/>
      <c r="I88" s="332" t="s">
        <v>14</v>
      </c>
      <c r="J88" s="332" t="s">
        <v>14</v>
      </c>
    </row>
    <row r="89" spans="2:10">
      <c r="C89" s="2" t="s">
        <v>374</v>
      </c>
      <c r="D89" s="2"/>
      <c r="E89" s="2"/>
      <c r="F89" s="312"/>
      <c r="G89" s="312"/>
      <c r="H89" s="312"/>
      <c r="I89" s="332" t="s">
        <v>14</v>
      </c>
      <c r="J89" s="332" t="s">
        <v>14</v>
      </c>
    </row>
    <row r="90" spans="2:10">
      <c r="C90" s="2" t="s">
        <v>375</v>
      </c>
      <c r="D90" s="2"/>
      <c r="E90" s="2"/>
      <c r="F90" s="312"/>
      <c r="G90" s="312"/>
      <c r="H90" s="312"/>
      <c r="I90" s="332" t="s">
        <v>14</v>
      </c>
      <c r="J90" s="332" t="s">
        <v>14</v>
      </c>
    </row>
    <row r="91" spans="2:10">
      <c r="C91" s="2" t="s">
        <v>376</v>
      </c>
      <c r="D91" s="2"/>
      <c r="E91" s="2"/>
      <c r="F91" s="312"/>
      <c r="G91" s="312"/>
      <c r="H91" s="312"/>
      <c r="I91" s="332" t="s">
        <v>14</v>
      </c>
      <c r="J91" s="332" t="s">
        <v>14</v>
      </c>
    </row>
    <row r="92" spans="2:10">
      <c r="C92" s="308" t="s">
        <v>377</v>
      </c>
      <c r="D92" s="308"/>
      <c r="E92" s="308"/>
      <c r="F92" s="312"/>
      <c r="G92" s="312"/>
      <c r="H92" s="312"/>
      <c r="I92" s="364" t="s">
        <v>14</v>
      </c>
      <c r="J92" s="364" t="s">
        <v>14</v>
      </c>
    </row>
    <row r="93" spans="2:10">
      <c r="C93" s="2"/>
      <c r="D93" s="2"/>
      <c r="E93" s="2"/>
      <c r="F93" s="312"/>
      <c r="G93" s="312"/>
      <c r="H93" s="312"/>
      <c r="I93" s="331"/>
      <c r="J93" s="331"/>
    </row>
    <row r="94" spans="2:10">
      <c r="B94" s="309" t="s">
        <v>378</v>
      </c>
      <c r="C94" s="308"/>
      <c r="D94" s="308"/>
      <c r="E94" s="308"/>
      <c r="F94" s="313"/>
      <c r="G94" s="313"/>
      <c r="H94" s="313"/>
      <c r="I94" s="364" t="s">
        <v>14</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14</v>
      </c>
      <c r="J99" s="332" t="s">
        <v>14</v>
      </c>
    </row>
    <row r="100" spans="2:10">
      <c r="C100" s="2" t="s">
        <v>381</v>
      </c>
      <c r="D100" s="2"/>
      <c r="E100" s="2"/>
      <c r="F100" s="312"/>
      <c r="G100" s="312"/>
      <c r="H100" s="312"/>
      <c r="I100" s="332" t="s">
        <v>14</v>
      </c>
      <c r="J100" s="332" t="s">
        <v>14</v>
      </c>
    </row>
    <row r="101" spans="2:10">
      <c r="C101" s="2" t="s">
        <v>382</v>
      </c>
      <c r="D101" s="2"/>
      <c r="E101" s="2"/>
      <c r="F101" s="312"/>
      <c r="G101" s="312"/>
      <c r="H101" s="312"/>
      <c r="I101" s="332" t="s">
        <v>14</v>
      </c>
      <c r="J101" s="332" t="s">
        <v>14</v>
      </c>
    </row>
    <row r="102" spans="2:10">
      <c r="C102" s="308" t="s">
        <v>534</v>
      </c>
      <c r="D102" s="2"/>
      <c r="E102" s="2"/>
      <c r="F102" s="312"/>
      <c r="G102" s="312"/>
      <c r="H102" s="312"/>
      <c r="I102" s="364" t="s">
        <v>14</v>
      </c>
      <c r="J102" s="364" t="s">
        <v>14</v>
      </c>
    </row>
    <row r="103" spans="2:10">
      <c r="C103" s="2" t="s">
        <v>524</v>
      </c>
      <c r="D103" s="2"/>
      <c r="E103" s="2"/>
      <c r="F103" s="312"/>
      <c r="G103" s="312"/>
      <c r="H103" s="312"/>
      <c r="I103" s="332" t="s">
        <v>14</v>
      </c>
      <c r="J103" s="332" t="s">
        <v>14</v>
      </c>
    </row>
    <row r="104" spans="2:10">
      <c r="C104" s="2" t="s">
        <v>383</v>
      </c>
      <c r="D104" s="2"/>
      <c r="E104" s="2"/>
      <c r="F104" s="312"/>
      <c r="G104" s="312"/>
      <c r="H104" s="312"/>
      <c r="I104" s="332" t="s">
        <v>14</v>
      </c>
      <c r="J104" s="332" t="s">
        <v>14</v>
      </c>
    </row>
    <row r="105" spans="2:10">
      <c r="C105" s="2" t="s">
        <v>384</v>
      </c>
      <c r="D105" s="2"/>
      <c r="E105" s="2"/>
      <c r="F105" s="312"/>
      <c r="G105" s="312"/>
      <c r="H105" s="312"/>
      <c r="I105" s="332" t="s">
        <v>14</v>
      </c>
      <c r="J105" s="332" t="s">
        <v>14</v>
      </c>
    </row>
    <row r="106" spans="2:10">
      <c r="C106" s="2" t="s">
        <v>544</v>
      </c>
      <c r="D106" s="2"/>
      <c r="E106" s="2"/>
      <c r="F106" s="312"/>
      <c r="G106" s="312"/>
      <c r="H106" s="312"/>
      <c r="I106" s="332" t="s">
        <v>14</v>
      </c>
      <c r="J106" s="332" t="s">
        <v>14</v>
      </c>
    </row>
    <row r="107" spans="2:10">
      <c r="C107" s="2" t="s">
        <v>385</v>
      </c>
      <c r="D107" s="2"/>
      <c r="E107" s="2"/>
      <c r="F107" s="312"/>
      <c r="G107" s="312"/>
      <c r="H107" s="312"/>
      <c r="I107" s="332" t="s">
        <v>14</v>
      </c>
      <c r="J107" s="332" t="s">
        <v>14</v>
      </c>
    </row>
    <row r="108" spans="2:10">
      <c r="C108" s="2" t="s">
        <v>386</v>
      </c>
      <c r="D108" s="2"/>
      <c r="E108" s="2"/>
      <c r="F108" s="312"/>
      <c r="G108" s="312"/>
      <c r="H108" s="312"/>
      <c r="I108" s="332" t="s">
        <v>14</v>
      </c>
      <c r="J108" s="332" t="s">
        <v>14</v>
      </c>
    </row>
    <row r="109" spans="2:10">
      <c r="C109" s="2" t="s">
        <v>523</v>
      </c>
      <c r="D109" s="2"/>
      <c r="E109" s="2"/>
      <c r="F109" s="312"/>
      <c r="G109" s="312"/>
      <c r="H109" s="312"/>
      <c r="I109" s="332" t="s">
        <v>14</v>
      </c>
      <c r="J109" s="332" t="s">
        <v>14</v>
      </c>
    </row>
    <row r="110" spans="2:10">
      <c r="C110" s="308" t="s">
        <v>526</v>
      </c>
      <c r="D110" s="2"/>
      <c r="E110" s="2"/>
      <c r="F110" s="312"/>
      <c r="G110" s="312"/>
      <c r="H110" s="312"/>
      <c r="I110" s="364" t="s">
        <v>14</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t="s">
        <v>14</v>
      </c>
      <c r="J115" s="332" t="s">
        <v>14</v>
      </c>
    </row>
    <row r="116" spans="3:10">
      <c r="C116" s="315" t="s">
        <v>342</v>
      </c>
      <c r="D116" s="315"/>
      <c r="E116" s="315"/>
      <c r="F116" s="315"/>
      <c r="G116" s="315"/>
      <c r="H116" s="315"/>
      <c r="I116" s="332" t="s">
        <v>14</v>
      </c>
      <c r="J116" s="332" t="s">
        <v>14</v>
      </c>
    </row>
    <row r="117" spans="3:10">
      <c r="C117" s="315" t="s">
        <v>390</v>
      </c>
      <c r="D117" s="315"/>
      <c r="E117" s="315"/>
      <c r="F117" s="315"/>
      <c r="G117" s="315"/>
      <c r="H117" s="315"/>
      <c r="I117" s="332" t="s">
        <v>14</v>
      </c>
      <c r="J117" s="332" t="s">
        <v>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t="s">
        <v>14</v>
      </c>
      <c r="J120" s="332" t="s">
        <v>14</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534"/>
      <c r="J123" s="534"/>
    </row>
    <row r="124" spans="3:10">
      <c r="C124" s="315" t="s">
        <v>392</v>
      </c>
      <c r="D124" s="315"/>
      <c r="E124" s="315"/>
      <c r="F124" s="315"/>
      <c r="G124" s="315"/>
      <c r="H124" s="315"/>
      <c r="I124" s="332" t="s">
        <v>14</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534"/>
      <c r="J128" s="534"/>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t="s">
        <v>14</v>
      </c>
      <c r="J134" s="332" t="s">
        <v>14</v>
      </c>
    </row>
    <row r="135" spans="2:10">
      <c r="C135" s="2" t="s">
        <v>398</v>
      </c>
      <c r="D135" s="2"/>
      <c r="E135" s="2"/>
      <c r="F135" s="312"/>
      <c r="G135" s="312"/>
      <c r="H135" s="312"/>
      <c r="I135" s="332" t="s">
        <v>14</v>
      </c>
      <c r="J135" s="332" t="s">
        <v>14</v>
      </c>
    </row>
    <row r="136" spans="2:10">
      <c r="C136" s="2" t="s">
        <v>399</v>
      </c>
      <c r="D136" s="2"/>
      <c r="E136" s="2"/>
      <c r="F136" s="312"/>
      <c r="G136" s="312"/>
      <c r="H136" s="312"/>
      <c r="I136" s="332" t="s">
        <v>14</v>
      </c>
      <c r="J136" s="332" t="s">
        <v>14</v>
      </c>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332" t="s">
        <v>14</v>
      </c>
      <c r="J139" s="332" t="s">
        <v>14</v>
      </c>
    </row>
    <row r="140" spans="2:10">
      <c r="C140" s="2" t="s">
        <v>402</v>
      </c>
      <c r="D140" s="2"/>
      <c r="E140" s="2"/>
      <c r="F140" s="312"/>
      <c r="G140" s="312"/>
      <c r="H140" s="312"/>
      <c r="I140" s="332" t="s">
        <v>14</v>
      </c>
      <c r="J140" s="332" t="s">
        <v>14</v>
      </c>
    </row>
    <row r="141" spans="2:10">
      <c r="C141" s="312" t="s">
        <v>403</v>
      </c>
      <c r="D141" s="312"/>
      <c r="E141" s="312"/>
      <c r="F141" s="312"/>
      <c r="G141" s="312"/>
      <c r="H141" s="312"/>
      <c r="I141" s="332" t="s">
        <v>14</v>
      </c>
      <c r="J141" s="332" t="s">
        <v>14</v>
      </c>
    </row>
    <row r="142" spans="2:10">
      <c r="C142" s="312" t="s">
        <v>404</v>
      </c>
      <c r="D142" s="312"/>
      <c r="E142" s="312"/>
      <c r="F142" s="312"/>
      <c r="G142" s="312"/>
      <c r="H142" s="312"/>
      <c r="I142" s="332" t="s">
        <v>14</v>
      </c>
      <c r="J142" s="332" t="s">
        <v>14</v>
      </c>
    </row>
    <row r="143" spans="2:10">
      <c r="C143" s="312" t="s">
        <v>405</v>
      </c>
      <c r="D143" s="312"/>
      <c r="E143" s="312"/>
      <c r="F143" s="312"/>
      <c r="G143" s="312"/>
      <c r="H143" s="312"/>
      <c r="I143" s="332" t="s">
        <v>14</v>
      </c>
      <c r="J143" s="332" t="s">
        <v>14</v>
      </c>
    </row>
    <row r="144" spans="2:10">
      <c r="C144" s="2" t="s">
        <v>406</v>
      </c>
      <c r="D144" s="2"/>
      <c r="E144" s="2"/>
      <c r="F144" s="312"/>
      <c r="G144" s="312"/>
      <c r="H144" s="312"/>
      <c r="I144" s="332" t="s">
        <v>14</v>
      </c>
      <c r="J144" s="332" t="s">
        <v>14</v>
      </c>
    </row>
    <row r="145" spans="3:10">
      <c r="C145" s="2" t="s">
        <v>407</v>
      </c>
      <c r="D145" s="2"/>
      <c r="E145" s="2"/>
      <c r="F145" s="312"/>
      <c r="G145" s="312"/>
      <c r="H145" s="312"/>
      <c r="I145" s="332" t="s">
        <v>14</v>
      </c>
      <c r="J145" s="332" t="s">
        <v>14</v>
      </c>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2" t="s">
        <v>14</v>
      </c>
      <c r="J148" s="332" t="s">
        <v>14</v>
      </c>
    </row>
    <row r="149" spans="3:10">
      <c r="C149" s="312" t="s">
        <v>411</v>
      </c>
      <c r="D149" s="312"/>
      <c r="E149" s="312"/>
      <c r="F149" s="312"/>
      <c r="G149" s="312"/>
      <c r="H149" s="312"/>
      <c r="I149" s="332" t="s">
        <v>14</v>
      </c>
      <c r="J149" s="332" t="s">
        <v>14</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2" t="s">
        <v>14</v>
      </c>
      <c r="J154" s="332" t="s">
        <v>14</v>
      </c>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2" t="s">
        <v>14</v>
      </c>
      <c r="J156" s="332" t="s">
        <v>14</v>
      </c>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2" t="s">
        <v>14</v>
      </c>
      <c r="J162" s="332" t="s">
        <v>14</v>
      </c>
    </row>
    <row r="163" spans="3:10">
      <c r="C163" s="312" t="s">
        <v>425</v>
      </c>
      <c r="D163" s="312"/>
      <c r="E163" s="312"/>
      <c r="F163" s="312"/>
      <c r="G163" s="312"/>
      <c r="H163" s="312"/>
      <c r="I163" s="332" t="s">
        <v>14</v>
      </c>
      <c r="J163" s="332" t="s">
        <v>14</v>
      </c>
    </row>
    <row r="164" spans="3:10">
      <c r="C164" s="312" t="s">
        <v>426</v>
      </c>
      <c r="D164" s="312"/>
      <c r="E164" s="312"/>
      <c r="F164" s="312"/>
      <c r="G164" s="312"/>
      <c r="H164" s="312"/>
      <c r="I164" s="332" t="s">
        <v>14</v>
      </c>
      <c r="J164" s="332" t="s">
        <v>14</v>
      </c>
    </row>
    <row r="165" spans="3:10">
      <c r="C165" s="315" t="s">
        <v>427</v>
      </c>
      <c r="D165" s="315"/>
      <c r="E165" s="315"/>
      <c r="F165" s="315"/>
      <c r="G165" s="315"/>
      <c r="H165" s="315"/>
      <c r="I165" s="332" t="s">
        <v>14</v>
      </c>
      <c r="J165" s="332" t="s">
        <v>14</v>
      </c>
    </row>
    <row r="166" spans="3:10">
      <c r="C166" s="315" t="s">
        <v>428</v>
      </c>
      <c r="D166" s="315"/>
      <c r="E166" s="315"/>
      <c r="F166" s="315"/>
      <c r="G166" s="315"/>
      <c r="H166" s="315"/>
      <c r="I166" s="332" t="s">
        <v>14</v>
      </c>
      <c r="J166" s="332" t="s">
        <v>14</v>
      </c>
    </row>
    <row r="167" spans="3:10">
      <c r="C167" s="312" t="s">
        <v>429</v>
      </c>
      <c r="D167" s="312"/>
      <c r="E167" s="312"/>
      <c r="F167" s="312"/>
      <c r="G167" s="312"/>
      <c r="H167" s="312"/>
      <c r="I167" s="332" t="s">
        <v>14</v>
      </c>
      <c r="J167" s="332" t="s">
        <v>14</v>
      </c>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2" t="s">
        <v>14</v>
      </c>
      <c r="J170" s="332" t="s">
        <v>14</v>
      </c>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2" t="s">
        <v>14</v>
      </c>
      <c r="J173" s="332" t="s">
        <v>14</v>
      </c>
    </row>
    <row r="174" spans="3:10">
      <c r="C174" s="315" t="s">
        <v>432</v>
      </c>
      <c r="D174" s="315"/>
      <c r="E174" s="315"/>
      <c r="F174" s="315"/>
      <c r="G174" s="315"/>
      <c r="H174" s="315"/>
      <c r="I174" s="332" t="s">
        <v>14</v>
      </c>
      <c r="J174" s="332" t="s">
        <v>14</v>
      </c>
    </row>
    <row r="175" spans="3:10">
      <c r="C175" s="315" t="s">
        <v>433</v>
      </c>
      <c r="D175" s="315"/>
      <c r="E175" s="315"/>
      <c r="F175" s="315"/>
      <c r="G175" s="315"/>
      <c r="H175" s="315"/>
      <c r="I175" s="332" t="s">
        <v>14</v>
      </c>
      <c r="J175" s="332" t="s">
        <v>14</v>
      </c>
    </row>
    <row r="176" spans="3:10">
      <c r="C176" s="315" t="s">
        <v>434</v>
      </c>
      <c r="D176" s="315"/>
      <c r="E176" s="315"/>
      <c r="F176" s="315"/>
      <c r="G176" s="315"/>
      <c r="H176" s="315"/>
      <c r="I176" s="332" t="s">
        <v>14</v>
      </c>
      <c r="J176" s="332" t="s">
        <v>14</v>
      </c>
    </row>
    <row r="177" spans="3:10">
      <c r="C177" s="315" t="s">
        <v>435</v>
      </c>
      <c r="D177" s="315"/>
      <c r="E177" s="315"/>
      <c r="F177" s="315"/>
      <c r="G177" s="315"/>
      <c r="H177" s="315"/>
      <c r="I177" s="332" t="s">
        <v>14</v>
      </c>
      <c r="J177" s="332" t="s">
        <v>14</v>
      </c>
    </row>
    <row r="178" spans="3:10">
      <c r="C178" s="310" t="s">
        <v>422</v>
      </c>
      <c r="D178" s="310"/>
      <c r="E178" s="310"/>
      <c r="F178" s="312"/>
      <c r="G178" s="312"/>
      <c r="H178" s="312"/>
      <c r="I178" s="332" t="s">
        <v>14</v>
      </c>
      <c r="J178" s="332" t="s">
        <v>14</v>
      </c>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2" t="s">
        <v>14</v>
      </c>
      <c r="J187" s="332" t="s">
        <v>14</v>
      </c>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2" t="s">
        <v>14</v>
      </c>
      <c r="J193" s="332" t="s">
        <v>14</v>
      </c>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2" t="s">
        <v>14</v>
      </c>
      <c r="J210" s="332" t="s">
        <v>14</v>
      </c>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v>42004</v>
      </c>
      <c r="J225" s="364" t="s">
        <v>14</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332" t="s">
        <v>14</v>
      </c>
    </row>
    <row r="231" spans="2:10">
      <c r="C231" s="312" t="s">
        <v>477</v>
      </c>
      <c r="D231" s="312"/>
      <c r="E231" s="312"/>
      <c r="F231" s="312"/>
      <c r="G231" s="312"/>
      <c r="H231" s="312"/>
      <c r="I231" s="332" t="s">
        <v>14</v>
      </c>
      <c r="J231" s="332" t="s">
        <v>14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v>42004</v>
      </c>
      <c r="J235" s="364" t="s">
        <v>14</v>
      </c>
    </row>
    <row r="236" spans="2:10">
      <c r="C236" s="308" t="s">
        <v>480</v>
      </c>
      <c r="D236" s="2"/>
      <c r="E236" s="2"/>
      <c r="F236" s="312"/>
      <c r="G236" s="312"/>
      <c r="H236" s="312"/>
      <c r="I236" s="332" t="s">
        <v>14</v>
      </c>
      <c r="J236" s="332" t="s">
        <v>14</v>
      </c>
    </row>
    <row r="237" spans="2:10">
      <c r="C237" s="2" t="s">
        <v>481</v>
      </c>
      <c r="D237" s="2"/>
      <c r="E237" s="2"/>
      <c r="F237" s="312"/>
      <c r="G237" s="312"/>
      <c r="H237" s="312"/>
      <c r="I237" s="364" t="s">
        <v>14</v>
      </c>
      <c r="J237" s="364" t="s">
        <v>14</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14</v>
      </c>
      <c r="J253" s="332" t="s">
        <v>14</v>
      </c>
    </row>
    <row r="254" spans="2:10">
      <c r="C254" s="308" t="s">
        <v>539</v>
      </c>
      <c r="D254" s="2"/>
      <c r="E254" s="2"/>
      <c r="F254" s="312"/>
      <c r="G254" s="312"/>
      <c r="H254" s="312"/>
      <c r="I254" s="364" t="s">
        <v>14</v>
      </c>
      <c r="J254" s="364" t="s">
        <v>14</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14</v>
      </c>
      <c r="J267" s="332" t="s">
        <v>14</v>
      </c>
    </row>
    <row r="268" spans="2:10">
      <c r="C268" s="312" t="s">
        <v>495</v>
      </c>
      <c r="D268" s="312"/>
      <c r="E268" s="312"/>
      <c r="F268" s="312"/>
      <c r="G268" s="312"/>
      <c r="H268" s="312"/>
      <c r="I268" s="332" t="s">
        <v>14</v>
      </c>
      <c r="J268" s="332" t="s">
        <v>14</v>
      </c>
    </row>
    <row r="269" spans="2:10">
      <c r="C269" s="312" t="s">
        <v>496</v>
      </c>
      <c r="D269" s="312"/>
      <c r="E269" s="312"/>
      <c r="F269" s="312"/>
      <c r="G269" s="312"/>
      <c r="H269" s="312"/>
      <c r="I269" s="332" t="s">
        <v>14</v>
      </c>
      <c r="J269" s="332" t="s">
        <v>14</v>
      </c>
    </row>
    <row r="270" spans="2:10">
      <c r="C270" s="312" t="s">
        <v>497</v>
      </c>
      <c r="D270" s="312"/>
      <c r="E270" s="312"/>
      <c r="F270" s="312"/>
      <c r="G270" s="312"/>
      <c r="H270" s="312"/>
      <c r="I270" s="332" t="s">
        <v>14</v>
      </c>
      <c r="J270" s="332" t="s">
        <v>14</v>
      </c>
    </row>
    <row r="271" spans="2:10">
      <c r="C271" s="312" t="s">
        <v>498</v>
      </c>
      <c r="D271" s="312"/>
      <c r="E271" s="312"/>
      <c r="F271" s="312"/>
      <c r="G271" s="312"/>
      <c r="H271" s="312"/>
      <c r="I271" s="332" t="s">
        <v>14</v>
      </c>
      <c r="J271" s="332" t="s">
        <v>14</v>
      </c>
    </row>
    <row r="272" spans="2:10">
      <c r="C272" s="312" t="s">
        <v>499</v>
      </c>
      <c r="D272" s="312"/>
      <c r="E272" s="312"/>
      <c r="F272" s="312"/>
      <c r="G272" s="312"/>
      <c r="H272" s="312"/>
      <c r="I272" s="332" t="s">
        <v>14</v>
      </c>
      <c r="J272" s="332" t="s">
        <v>14</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I291" s="2"/>
      <c r="J291" s="7"/>
      <c r="K291" s="2"/>
      <c r="L291" s="2"/>
      <c r="M291" s="301"/>
      <c r="N291" s="2"/>
      <c r="O291" s="301"/>
    </row>
  </sheetData>
  <sheetProtection selectLockedCells="1"/>
  <mergeCells count="109">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 ref="F12:G12"/>
    <mergeCell ref="I12:K12"/>
    <mergeCell ref="L12:M12"/>
    <mergeCell ref="C13:D13"/>
    <mergeCell ref="F13:G13"/>
    <mergeCell ref="I13:K13"/>
    <mergeCell ref="L13:M13"/>
    <mergeCell ref="C10:D10"/>
    <mergeCell ref="F10:G10"/>
    <mergeCell ref="I10:K10"/>
    <mergeCell ref="L10:M10"/>
    <mergeCell ref="F11:G11"/>
    <mergeCell ref="I11:J11"/>
    <mergeCell ref="L11:M11"/>
    <mergeCell ref="C16:D16"/>
    <mergeCell ref="F16:G16"/>
    <mergeCell ref="I16:K16"/>
    <mergeCell ref="L16:M16"/>
    <mergeCell ref="P16:U17"/>
    <mergeCell ref="I17:K17"/>
    <mergeCell ref="L17:M17"/>
    <mergeCell ref="C14:D14"/>
    <mergeCell ref="F14:G14"/>
    <mergeCell ref="I14:K14"/>
    <mergeCell ref="L14:M14"/>
    <mergeCell ref="C15:D15"/>
    <mergeCell ref="F15:G15"/>
    <mergeCell ref="I15:K15"/>
    <mergeCell ref="L15:M15"/>
    <mergeCell ref="C22:D22"/>
    <mergeCell ref="F22:G22"/>
    <mergeCell ref="I22:K22"/>
    <mergeCell ref="L22:M22"/>
    <mergeCell ref="C23:D23"/>
    <mergeCell ref="F23:G23"/>
    <mergeCell ref="I23:K23"/>
    <mergeCell ref="L23:M23"/>
    <mergeCell ref="I18:K18"/>
    <mergeCell ref="L18:M18"/>
    <mergeCell ref="C21:D21"/>
    <mergeCell ref="F21:G21"/>
    <mergeCell ref="I21:K21"/>
    <mergeCell ref="L21:M21"/>
    <mergeCell ref="C39:D39"/>
    <mergeCell ref="H39:M39"/>
    <mergeCell ref="C40:D40"/>
    <mergeCell ref="H40:M40"/>
    <mergeCell ref="C41:D41"/>
    <mergeCell ref="H41:M41"/>
    <mergeCell ref="C24:D24"/>
    <mergeCell ref="F24:G24"/>
    <mergeCell ref="K24:M24"/>
    <mergeCell ref="C27:M34"/>
    <mergeCell ref="H37:M37"/>
    <mergeCell ref="C38:D38"/>
    <mergeCell ref="H38:M38"/>
    <mergeCell ref="C45:D45"/>
    <mergeCell ref="H45:M45"/>
    <mergeCell ref="C46:D46"/>
    <mergeCell ref="H46:M46"/>
    <mergeCell ref="C47:D47"/>
    <mergeCell ref="H47:M47"/>
    <mergeCell ref="C42:D42"/>
    <mergeCell ref="H42:M42"/>
    <mergeCell ref="C43:D43"/>
    <mergeCell ref="H43:M43"/>
    <mergeCell ref="C44:D44"/>
    <mergeCell ref="H44:M44"/>
    <mergeCell ref="C51:D51"/>
    <mergeCell ref="H51:M51"/>
    <mergeCell ref="C52:D52"/>
    <mergeCell ref="H52:M52"/>
    <mergeCell ref="C53:D53"/>
    <mergeCell ref="H53:M53"/>
    <mergeCell ref="C48:D48"/>
    <mergeCell ref="H48:M48"/>
    <mergeCell ref="C49:D49"/>
    <mergeCell ref="H49:M49"/>
    <mergeCell ref="C50:D50"/>
    <mergeCell ref="H50:M50"/>
    <mergeCell ref="I65:J65"/>
    <mergeCell ref="C57:D57"/>
    <mergeCell ref="H57:M57"/>
    <mergeCell ref="C58:D58"/>
    <mergeCell ref="H58:M58"/>
    <mergeCell ref="I63:J63"/>
    <mergeCell ref="I64:J64"/>
    <mergeCell ref="C54:D54"/>
    <mergeCell ref="H54:M54"/>
    <mergeCell ref="C55:D55"/>
    <mergeCell ref="H55:M55"/>
    <mergeCell ref="C56:D56"/>
    <mergeCell ref="H56:M56"/>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2">
    <tabColor rgb="FF00B0F0"/>
  </sheetPr>
  <dimension ref="B1:U291"/>
  <sheetViews>
    <sheetView topLeftCell="A4" workbookViewId="0">
      <selection activeCell="L12" sqref="L12:M12"/>
    </sheetView>
  </sheetViews>
  <sheetFormatPr baseColWidth="10" defaultColWidth="9.1640625" defaultRowHeight="15"/>
  <cols>
    <col min="1" max="1" width="2.83203125" style="5" customWidth="1"/>
    <col min="2" max="2" width="1.6640625" style="5" customWidth="1"/>
    <col min="3" max="3" width="13.83203125" style="5" customWidth="1"/>
    <col min="4" max="4" width="12.6640625" style="5" customWidth="1"/>
    <col min="5" max="5" width="7.1640625" style="5" customWidth="1"/>
    <col min="6" max="6" width="11.83203125" style="5" customWidth="1"/>
    <col min="7" max="7" width="9.5" style="5" customWidth="1"/>
    <col min="8" max="8" width="3.1640625" style="5" customWidth="1"/>
    <col min="9" max="10" width="12.6640625" style="5" customWidth="1"/>
    <col min="11" max="11" width="9.6640625" style="5" customWidth="1"/>
    <col min="12" max="12" width="8.5" style="5" customWidth="1"/>
    <col min="13" max="13" width="11" style="5" customWidth="1"/>
    <col min="14" max="14" width="1.6640625" style="5" customWidth="1"/>
    <col min="15" max="15" width="5.1640625" style="5" customWidth="1"/>
    <col min="16" max="16384" width="9.1640625" style="5"/>
  </cols>
  <sheetData>
    <row r="1" spans="2:21" ht="7.5" customHeight="1" thickBot="1">
      <c r="B1" s="318"/>
      <c r="C1" s="318"/>
      <c r="D1" s="318"/>
      <c r="E1" s="318"/>
      <c r="F1" s="318"/>
      <c r="G1" s="318"/>
      <c r="H1" s="318"/>
      <c r="I1" s="318"/>
      <c r="J1" s="318"/>
      <c r="K1" s="318"/>
      <c r="L1" s="318"/>
      <c r="M1" s="318"/>
      <c r="N1" s="318"/>
    </row>
    <row r="2" spans="2:21" s="122" customFormat="1" ht="25" thickTop="1">
      <c r="B2" s="319"/>
      <c r="C2" s="135" t="str">
        <f>Detail!A47</f>
        <v>Westside Resyndication</v>
      </c>
      <c r="D2" s="341"/>
      <c r="E2" s="341"/>
      <c r="F2" s="120"/>
      <c r="G2" s="120"/>
      <c r="H2" s="120"/>
      <c r="I2" s="120"/>
      <c r="J2" s="120"/>
      <c r="K2" s="120"/>
      <c r="L2" s="120"/>
      <c r="M2" s="121"/>
      <c r="N2" s="319"/>
    </row>
    <row r="3" spans="2:21" s="122" customFormat="1" ht="20.25" customHeight="1" thickBot="1">
      <c r="B3" s="319"/>
      <c r="C3" s="136" t="str">
        <f>Detail!B47</f>
        <v>A Blakley</v>
      </c>
      <c r="D3" s="342"/>
      <c r="E3" s="342"/>
      <c r="F3" s="123"/>
      <c r="G3" s="123"/>
      <c r="H3" s="123"/>
      <c r="I3" s="123"/>
      <c r="J3" s="123"/>
      <c r="K3" s="134"/>
      <c r="L3" s="134"/>
      <c r="M3" s="137"/>
      <c r="N3" s="319"/>
    </row>
    <row r="4" spans="2:21" ht="7.5" customHeight="1" thickTop="1" thickBot="1">
      <c r="B4" s="318"/>
      <c r="C4" s="318"/>
      <c r="D4" s="318"/>
      <c r="E4" s="318"/>
      <c r="F4" s="318"/>
      <c r="G4" s="318"/>
      <c r="H4" s="318"/>
      <c r="I4" s="318"/>
      <c r="J4" s="318"/>
      <c r="K4" s="318"/>
      <c r="L4" s="318"/>
      <c r="M4" s="318"/>
      <c r="N4" s="318"/>
    </row>
    <row r="5" spans="2:21" ht="21" thickTop="1" thickBot="1">
      <c r="B5" s="318"/>
      <c r="C5" s="124" t="s">
        <v>212</v>
      </c>
      <c r="D5" s="316"/>
      <c r="E5" s="316"/>
      <c r="F5" s="126"/>
      <c r="G5" s="125"/>
      <c r="H5" s="356"/>
      <c r="I5" s="124" t="s">
        <v>218</v>
      </c>
      <c r="J5" s="124"/>
      <c r="K5" s="126"/>
      <c r="L5" s="126"/>
      <c r="M5" s="125"/>
      <c r="N5" s="318"/>
    </row>
    <row r="6" spans="2:21" ht="17.25" customHeight="1" thickTop="1">
      <c r="B6" s="318"/>
      <c r="C6" s="833" t="s">
        <v>213</v>
      </c>
      <c r="D6" s="834"/>
      <c r="E6" s="351"/>
      <c r="F6" s="835" t="str">
        <f>Detail!Y47</f>
        <v>Family</v>
      </c>
      <c r="G6" s="836"/>
      <c r="H6" s="357"/>
      <c r="I6" s="833" t="s">
        <v>219</v>
      </c>
      <c r="J6" s="834"/>
      <c r="K6" s="834"/>
      <c r="L6" s="837" t="str">
        <f>Detail!I47</f>
        <v>LIHTC - 4%</v>
      </c>
      <c r="M6" s="838"/>
      <c r="N6" s="318"/>
    </row>
    <row r="7" spans="2:21" ht="17.25" customHeight="1">
      <c r="B7" s="318"/>
      <c r="C7" s="796" t="s">
        <v>214</v>
      </c>
      <c r="D7" s="797"/>
      <c r="E7" s="352"/>
      <c r="F7" s="819" t="str">
        <f>Detail!C47</f>
        <v>Chicago</v>
      </c>
      <c r="G7" s="820"/>
      <c r="H7" s="357"/>
      <c r="I7" s="796" t="s">
        <v>183</v>
      </c>
      <c r="J7" s="797"/>
      <c r="K7" s="797"/>
      <c r="L7" s="830" t="str">
        <f>Detail!J47</f>
        <v>TBD</v>
      </c>
      <c r="M7" s="831"/>
      <c r="N7" s="318"/>
    </row>
    <row r="8" spans="2:21" ht="17.25" customHeight="1">
      <c r="B8" s="318"/>
      <c r="C8" s="796" t="s">
        <v>9</v>
      </c>
      <c r="D8" s="797"/>
      <c r="E8" s="352"/>
      <c r="F8" s="819" t="str">
        <f>Detail!D47</f>
        <v>Refinance/ Rehab</v>
      </c>
      <c r="G8" s="820"/>
      <c r="H8" s="357"/>
      <c r="I8" s="796" t="s">
        <v>184</v>
      </c>
      <c r="J8" s="797"/>
      <c r="K8" s="797"/>
      <c r="L8" s="830" t="str">
        <f>Detail!K47</f>
        <v>TBD</v>
      </c>
      <c r="M8" s="831"/>
      <c r="N8" s="318"/>
    </row>
    <row r="9" spans="2:21" ht="17.25" customHeight="1">
      <c r="B9" s="318"/>
      <c r="C9" s="796" t="s">
        <v>215</v>
      </c>
      <c r="D9" s="797"/>
      <c r="E9" s="353"/>
      <c r="F9" s="832">
        <f>Detail!T47</f>
        <v>315</v>
      </c>
      <c r="G9" s="820"/>
      <c r="H9" s="357"/>
      <c r="I9" s="796" t="s">
        <v>185</v>
      </c>
      <c r="J9" s="797"/>
      <c r="K9" s="797"/>
      <c r="L9" s="830" t="str">
        <f>Detail!L47</f>
        <v>TBD</v>
      </c>
      <c r="M9" s="831"/>
      <c r="N9" s="318"/>
    </row>
    <row r="10" spans="2:21" ht="17.25" customHeight="1">
      <c r="B10" s="318"/>
      <c r="C10" s="796" t="s">
        <v>216</v>
      </c>
      <c r="D10" s="797"/>
      <c r="E10" s="352"/>
      <c r="F10" s="819" t="str">
        <f>Detail!V47</f>
        <v>Family</v>
      </c>
      <c r="G10" s="820"/>
      <c r="H10" s="357"/>
      <c r="I10" s="796" t="s">
        <v>44</v>
      </c>
      <c r="J10" s="797"/>
      <c r="K10" s="797"/>
      <c r="L10" s="800">
        <f>Detail!AB47</f>
        <v>30712500</v>
      </c>
      <c r="M10" s="801"/>
      <c r="N10" s="318"/>
    </row>
    <row r="11" spans="2:21" ht="17.25" customHeight="1">
      <c r="B11" s="318"/>
      <c r="C11" s="361"/>
      <c r="D11" s="362"/>
      <c r="E11" s="352"/>
      <c r="F11" s="819" t="str">
        <f>Detail!W47</f>
        <v>Workforce</v>
      </c>
      <c r="G11" s="820"/>
      <c r="H11" s="357"/>
      <c r="I11" s="796" t="s">
        <v>602</v>
      </c>
      <c r="J11" s="797"/>
      <c r="K11" s="510"/>
      <c r="L11" s="828" t="str">
        <f>Detail!AG47</f>
        <v>TBD</v>
      </c>
      <c r="M11" s="829"/>
      <c r="N11" s="318"/>
    </row>
    <row r="12" spans="2:21" ht="17.25" customHeight="1">
      <c r="B12" s="318"/>
      <c r="C12" s="361"/>
      <c r="D12" s="362"/>
      <c r="E12" s="352"/>
      <c r="F12" s="819" t="str">
        <f>Detail!X47</f>
        <v>N/A</v>
      </c>
      <c r="G12" s="820"/>
      <c r="H12" s="357"/>
      <c r="I12" s="796" t="s">
        <v>603</v>
      </c>
      <c r="J12" s="797"/>
      <c r="K12" s="797"/>
      <c r="L12" s="828"/>
      <c r="M12" s="829"/>
      <c r="N12" s="318"/>
    </row>
    <row r="13" spans="2:21" ht="17.25" customHeight="1">
      <c r="B13" s="318"/>
      <c r="C13" s="796" t="s">
        <v>525</v>
      </c>
      <c r="D13" s="797"/>
      <c r="E13" s="354"/>
      <c r="F13" s="827" t="str">
        <f>Detail!AM47</f>
        <v>MHMG</v>
      </c>
      <c r="G13" s="820"/>
      <c r="H13" s="357"/>
      <c r="I13" s="796" t="s">
        <v>256</v>
      </c>
      <c r="J13" s="797"/>
      <c r="K13" s="797"/>
      <c r="L13" s="800">
        <f>Detail!AC47</f>
        <v>9213750</v>
      </c>
      <c r="M13" s="801"/>
      <c r="N13" s="318"/>
    </row>
    <row r="14" spans="2:21" ht="17.25" customHeight="1">
      <c r="B14" s="318"/>
      <c r="C14" s="796" t="s">
        <v>172</v>
      </c>
      <c r="D14" s="797"/>
      <c r="E14" s="352"/>
      <c r="F14" s="819" t="str">
        <f>Detail!Z47</f>
        <v>Program - In House</v>
      </c>
      <c r="G14" s="820"/>
      <c r="H14" s="357"/>
      <c r="I14" s="796" t="s">
        <v>257</v>
      </c>
      <c r="J14" s="797"/>
      <c r="K14" s="797"/>
      <c r="L14" s="800">
        <f>Detail!AF47</f>
        <v>6633900</v>
      </c>
      <c r="M14" s="801"/>
      <c r="N14" s="318"/>
    </row>
    <row r="15" spans="2:21" ht="17.25" customHeight="1" thickBot="1">
      <c r="B15" s="318"/>
      <c r="C15" s="796" t="s">
        <v>217</v>
      </c>
      <c r="D15" s="797"/>
      <c r="E15" s="355"/>
      <c r="F15" s="819" t="str">
        <f>Detail!AA47</f>
        <v>Property Operations</v>
      </c>
      <c r="G15" s="820"/>
      <c r="H15" s="357"/>
      <c r="I15" s="821" t="s">
        <v>255</v>
      </c>
      <c r="J15" s="822"/>
      <c r="K15" s="822"/>
      <c r="L15" s="823">
        <f>Detail!AD47</f>
        <v>921375</v>
      </c>
      <c r="M15" s="824"/>
      <c r="N15" s="318"/>
      <c r="P15" s="325"/>
      <c r="Q15" s="325"/>
      <c r="R15" s="325"/>
      <c r="S15" s="325"/>
    </row>
    <row r="16" spans="2:21" ht="17.25" customHeight="1" thickTop="1" thickBot="1">
      <c r="B16" s="318"/>
      <c r="C16" s="810"/>
      <c r="D16" s="811"/>
      <c r="E16" s="343"/>
      <c r="F16" s="812"/>
      <c r="G16" s="813"/>
      <c r="H16" s="357"/>
      <c r="I16" s="814" t="s">
        <v>220</v>
      </c>
      <c r="J16" s="815"/>
      <c r="K16" s="815"/>
      <c r="L16" s="816">
        <f>Detail!AH47</f>
        <v>2979112.4999999995</v>
      </c>
      <c r="M16" s="817"/>
      <c r="N16" s="318"/>
      <c r="P16" s="818" t="s">
        <v>601</v>
      </c>
      <c r="Q16" s="818"/>
      <c r="R16" s="818"/>
      <c r="S16" s="818"/>
      <c r="T16" s="818"/>
      <c r="U16" s="818"/>
    </row>
    <row r="17" spans="2:21" ht="17.25" customHeight="1" thickTop="1">
      <c r="B17" s="318"/>
      <c r="C17" s="519"/>
      <c r="D17" s="519"/>
      <c r="E17" s="520"/>
      <c r="F17" s="521"/>
      <c r="G17" s="521"/>
      <c r="H17" s="357"/>
      <c r="I17" s="796" t="s">
        <v>343</v>
      </c>
      <c r="J17" s="797"/>
      <c r="K17" s="797"/>
      <c r="L17" s="800">
        <f>Detail!AJ47</f>
        <v>999999.49999999953</v>
      </c>
      <c r="M17" s="801"/>
      <c r="N17" s="318"/>
      <c r="P17" s="818"/>
      <c r="Q17" s="818"/>
      <c r="R17" s="818"/>
      <c r="S17" s="818"/>
      <c r="T17" s="818"/>
      <c r="U17" s="818"/>
    </row>
    <row r="18" spans="2:21" ht="17.25" customHeight="1" thickBot="1">
      <c r="B18" s="318"/>
      <c r="C18" s="519"/>
      <c r="D18" s="519"/>
      <c r="E18" s="520"/>
      <c r="F18" s="521"/>
      <c r="G18" s="521"/>
      <c r="H18" s="357"/>
      <c r="I18" s="778" t="s">
        <v>221</v>
      </c>
      <c r="J18" s="779"/>
      <c r="K18" s="779"/>
      <c r="L18" s="802">
        <f>Detail!AI47</f>
        <v>1979113</v>
      </c>
      <c r="M18" s="803"/>
      <c r="N18" s="318"/>
      <c r="P18" s="526"/>
      <c r="Q18" s="527"/>
      <c r="R18" s="527"/>
      <c r="S18" s="527"/>
      <c r="T18" s="527"/>
      <c r="U18" s="527"/>
    </row>
    <row r="19" spans="2:21" ht="17.25" customHeight="1" thickTop="1" thickBot="1">
      <c r="B19" s="318"/>
      <c r="C19" s="320"/>
      <c r="D19" s="320"/>
      <c r="E19" s="320"/>
      <c r="F19" s="320"/>
      <c r="G19" s="320"/>
      <c r="H19" s="320"/>
      <c r="I19" s="320"/>
      <c r="J19" s="320"/>
      <c r="K19" s="320"/>
      <c r="L19" s="320"/>
      <c r="M19" s="320"/>
      <c r="N19" s="318"/>
      <c r="P19" s="527"/>
      <c r="Q19" s="527"/>
      <c r="R19" s="527"/>
      <c r="S19" s="527"/>
      <c r="T19" s="527"/>
      <c r="U19" s="527"/>
    </row>
    <row r="20" spans="2:21" ht="21.75" customHeight="1" thickTop="1" thickBot="1">
      <c r="B20" s="318"/>
      <c r="C20" s="523" t="s">
        <v>222</v>
      </c>
      <c r="D20" s="508"/>
      <c r="E20" s="508"/>
      <c r="F20" s="508"/>
      <c r="G20" s="508"/>
      <c r="H20" s="508"/>
      <c r="I20" s="508"/>
      <c r="J20" s="508"/>
      <c r="K20" s="508"/>
      <c r="L20" s="508"/>
      <c r="M20" s="509"/>
      <c r="N20" s="318"/>
      <c r="P20" s="527"/>
      <c r="Q20" s="527"/>
      <c r="R20" s="527"/>
      <c r="S20" s="527"/>
      <c r="T20" s="527"/>
      <c r="U20" s="527"/>
    </row>
    <row r="21" spans="2:21" s="88" customFormat="1" ht="17.25" customHeight="1" thickTop="1">
      <c r="B21" s="320"/>
      <c r="C21" s="804" t="s">
        <v>46</v>
      </c>
      <c r="D21" s="805"/>
      <c r="E21" s="349"/>
      <c r="F21" s="806" t="str">
        <f>Detail!F47</f>
        <v>Feasibility</v>
      </c>
      <c r="G21" s="807"/>
      <c r="H21" s="359"/>
      <c r="I21" s="804" t="s">
        <v>226</v>
      </c>
      <c r="J21" s="805"/>
      <c r="K21" s="805"/>
      <c r="L21" s="808">
        <f>Detail!Q47</f>
        <v>0</v>
      </c>
      <c r="M21" s="809"/>
      <c r="N21" s="320"/>
    </row>
    <row r="22" spans="2:21" s="88" customFormat="1" ht="17.25" customHeight="1">
      <c r="B22" s="320"/>
      <c r="C22" s="796" t="s">
        <v>223</v>
      </c>
      <c r="D22" s="797"/>
      <c r="E22" s="348"/>
      <c r="F22" s="798">
        <f>Detail!P47</f>
        <v>41609</v>
      </c>
      <c r="G22" s="799"/>
      <c r="H22" s="359"/>
      <c r="I22" s="796" t="s">
        <v>227</v>
      </c>
      <c r="J22" s="797"/>
      <c r="K22" s="797"/>
      <c r="L22" s="800">
        <f>Detail!AO47+Detail!AP47+Detail!AQ47+Detail!AR47</f>
        <v>0</v>
      </c>
      <c r="M22" s="801"/>
      <c r="N22" s="320"/>
    </row>
    <row r="23" spans="2:21" s="88" customFormat="1" ht="17.25" customHeight="1">
      <c r="B23" s="320"/>
      <c r="C23" s="796" t="s">
        <v>224</v>
      </c>
      <c r="D23" s="797"/>
      <c r="E23" s="348"/>
      <c r="F23" s="798">
        <f>Detail!R47</f>
        <v>41609</v>
      </c>
      <c r="G23" s="799"/>
      <c r="H23" s="359"/>
      <c r="I23" s="796" t="s">
        <v>228</v>
      </c>
      <c r="J23" s="797"/>
      <c r="K23" s="797"/>
      <c r="L23" s="800">
        <f>Detail!BG47</f>
        <v>0</v>
      </c>
      <c r="M23" s="801"/>
      <c r="N23" s="320"/>
    </row>
    <row r="24" spans="2:21" s="88" customFormat="1" ht="17.25" customHeight="1" thickBot="1">
      <c r="B24" s="320"/>
      <c r="C24" s="778" t="s">
        <v>225</v>
      </c>
      <c r="D24" s="779"/>
      <c r="E24" s="367"/>
      <c r="F24" s="780">
        <f>Detail!S47</f>
        <v>42064</v>
      </c>
      <c r="G24" s="781"/>
      <c r="H24" s="360"/>
      <c r="I24" s="339"/>
      <c r="J24" s="340"/>
      <c r="K24" s="782"/>
      <c r="L24" s="782"/>
      <c r="M24" s="783"/>
      <c r="N24" s="320"/>
    </row>
    <row r="25" spans="2:21" s="88" customFormat="1" ht="15.75" customHeight="1" thickTop="1" thickBot="1">
      <c r="B25" s="320"/>
      <c r="C25" s="320"/>
      <c r="D25" s="320"/>
      <c r="E25" s="320"/>
      <c r="F25" s="320"/>
      <c r="G25" s="320"/>
      <c r="H25" s="320"/>
      <c r="I25" s="320"/>
      <c r="J25" s="320"/>
      <c r="K25" s="320"/>
      <c r="L25" s="320"/>
      <c r="M25" s="320"/>
      <c r="N25" s="320"/>
    </row>
    <row r="26" spans="2:21" s="88" customFormat="1" ht="20.25" customHeight="1" thickTop="1">
      <c r="B26" s="320"/>
      <c r="C26" s="522" t="s">
        <v>604</v>
      </c>
      <c r="D26" s="516"/>
      <c r="E26" s="516"/>
      <c r="F26" s="516"/>
      <c r="G26" s="516"/>
      <c r="H26" s="516"/>
      <c r="I26" s="516"/>
      <c r="J26" s="516"/>
      <c r="K26" s="516"/>
      <c r="L26" s="516"/>
      <c r="M26" s="517"/>
      <c r="N26" s="320"/>
    </row>
    <row r="27" spans="2:21" s="88" customFormat="1" ht="27.75" customHeight="1">
      <c r="B27" s="320"/>
      <c r="C27" s="784"/>
      <c r="D27" s="785"/>
      <c r="E27" s="785"/>
      <c r="F27" s="785"/>
      <c r="G27" s="785"/>
      <c r="H27" s="785"/>
      <c r="I27" s="785"/>
      <c r="J27" s="785"/>
      <c r="K27" s="785"/>
      <c r="L27" s="785"/>
      <c r="M27" s="786"/>
      <c r="N27" s="320"/>
    </row>
    <row r="28" spans="2:21" s="88" customFormat="1" ht="27.75" customHeight="1">
      <c r="B28" s="320"/>
      <c r="C28" s="784"/>
      <c r="D28" s="785"/>
      <c r="E28" s="785"/>
      <c r="F28" s="785"/>
      <c r="G28" s="785"/>
      <c r="H28" s="785"/>
      <c r="I28" s="785"/>
      <c r="J28" s="785"/>
      <c r="K28" s="785"/>
      <c r="L28" s="785"/>
      <c r="M28" s="786"/>
      <c r="N28" s="320"/>
      <c r="P28" s="593" t="s">
        <v>747</v>
      </c>
    </row>
    <row r="29" spans="2:21" s="88" customFormat="1" ht="27.75" customHeight="1">
      <c r="B29" s="320"/>
      <c r="C29" s="784"/>
      <c r="D29" s="785"/>
      <c r="E29" s="785"/>
      <c r="F29" s="785"/>
      <c r="G29" s="785"/>
      <c r="H29" s="785"/>
      <c r="I29" s="785"/>
      <c r="J29" s="785"/>
      <c r="K29" s="785"/>
      <c r="L29" s="785"/>
      <c r="M29" s="786"/>
      <c r="N29" s="320"/>
      <c r="P29" s="593" t="s">
        <v>748</v>
      </c>
    </row>
    <row r="30" spans="2:21" s="88" customFormat="1" ht="27.75" customHeight="1">
      <c r="B30" s="320"/>
      <c r="C30" s="784"/>
      <c r="D30" s="785"/>
      <c r="E30" s="785"/>
      <c r="F30" s="785"/>
      <c r="G30" s="785"/>
      <c r="H30" s="785"/>
      <c r="I30" s="785"/>
      <c r="J30" s="785"/>
      <c r="K30" s="785"/>
      <c r="L30" s="785"/>
      <c r="M30" s="786"/>
      <c r="N30" s="320"/>
    </row>
    <row r="31" spans="2:21" s="88" customFormat="1" ht="27.75" customHeight="1">
      <c r="B31" s="320"/>
      <c r="C31" s="784"/>
      <c r="D31" s="785"/>
      <c r="E31" s="785"/>
      <c r="F31" s="785"/>
      <c r="G31" s="785"/>
      <c r="H31" s="785"/>
      <c r="I31" s="785"/>
      <c r="J31" s="785"/>
      <c r="K31" s="785"/>
      <c r="L31" s="785"/>
      <c r="M31" s="786"/>
      <c r="N31" s="320"/>
    </row>
    <row r="32" spans="2:21" s="88" customFormat="1" ht="27.75" customHeight="1">
      <c r="B32" s="320"/>
      <c r="C32" s="784"/>
      <c r="D32" s="785"/>
      <c r="E32" s="785"/>
      <c r="F32" s="785"/>
      <c r="G32" s="785"/>
      <c r="H32" s="785"/>
      <c r="I32" s="785"/>
      <c r="J32" s="785"/>
      <c r="K32" s="785"/>
      <c r="L32" s="785"/>
      <c r="M32" s="786"/>
      <c r="N32" s="320"/>
    </row>
    <row r="33" spans="2:19" s="88" customFormat="1" ht="27.75" customHeight="1">
      <c r="B33" s="320"/>
      <c r="C33" s="784"/>
      <c r="D33" s="785"/>
      <c r="E33" s="785"/>
      <c r="F33" s="785"/>
      <c r="G33" s="785"/>
      <c r="H33" s="785"/>
      <c r="I33" s="785"/>
      <c r="J33" s="785"/>
      <c r="K33" s="785"/>
      <c r="L33" s="785"/>
      <c r="M33" s="786"/>
      <c r="N33" s="320"/>
    </row>
    <row r="34" spans="2:19" s="88" customFormat="1" ht="27.75" customHeight="1" thickBot="1">
      <c r="B34" s="320"/>
      <c r="C34" s="787"/>
      <c r="D34" s="788"/>
      <c r="E34" s="788"/>
      <c r="F34" s="788"/>
      <c r="G34" s="788"/>
      <c r="H34" s="788"/>
      <c r="I34" s="788"/>
      <c r="J34" s="788"/>
      <c r="K34" s="788"/>
      <c r="L34" s="788"/>
      <c r="M34" s="789"/>
      <c r="N34" s="320"/>
    </row>
    <row r="35" spans="2:19" s="88" customFormat="1" ht="15.75" customHeight="1" thickTop="1" thickBot="1">
      <c r="B35" s="320"/>
      <c r="C35" s="529"/>
      <c r="D35" s="320"/>
      <c r="E35" s="320"/>
      <c r="F35" s="320"/>
      <c r="G35" s="320"/>
      <c r="H35" s="320"/>
      <c r="I35" s="320"/>
      <c r="J35" s="320"/>
      <c r="K35" s="320"/>
      <c r="L35" s="320"/>
      <c r="M35" s="320"/>
      <c r="N35" s="320"/>
    </row>
    <row r="36" spans="2:19" s="88" customFormat="1" ht="20.25" customHeight="1" thickTop="1" thickBot="1">
      <c r="B36" s="320"/>
      <c r="C36" s="523" t="s">
        <v>520</v>
      </c>
      <c r="D36" s="508"/>
      <c r="E36" s="508"/>
      <c r="F36" s="508"/>
      <c r="G36" s="528" t="str">
        <f>C2</f>
        <v>Westside Resyndication</v>
      </c>
      <c r="H36" s="508"/>
      <c r="I36" s="508"/>
      <c r="J36" s="508"/>
      <c r="K36" s="508"/>
      <c r="L36" s="508"/>
      <c r="M36" s="509"/>
      <c r="N36" s="320"/>
      <c r="P36" s="317"/>
    </row>
    <row r="37" spans="2:19" s="67" customFormat="1" ht="44.25" customHeight="1" thickTop="1" thickBot="1">
      <c r="B37" s="321"/>
      <c r="C37" s="326" t="s">
        <v>515</v>
      </c>
      <c r="D37" s="328"/>
      <c r="E37" s="328"/>
      <c r="F37" s="327" t="s">
        <v>531</v>
      </c>
      <c r="G37" s="327" t="s">
        <v>543</v>
      </c>
      <c r="H37" s="790" t="s">
        <v>533</v>
      </c>
      <c r="I37" s="790"/>
      <c r="J37" s="790"/>
      <c r="K37" s="790"/>
      <c r="L37" s="790"/>
      <c r="M37" s="791"/>
      <c r="N37" s="321"/>
    </row>
    <row r="38" spans="2:19" s="300" customFormat="1" ht="25.5" customHeight="1">
      <c r="B38" s="322"/>
      <c r="C38" s="792" t="s">
        <v>514</v>
      </c>
      <c r="D38" s="793"/>
      <c r="E38" s="344"/>
      <c r="F38" s="368" t="str">
        <f>I92</f>
        <v>TBD</v>
      </c>
      <c r="G38" s="368" t="str">
        <f>J92</f>
        <v>TBD</v>
      </c>
      <c r="H38" s="794"/>
      <c r="I38" s="794"/>
      <c r="J38" s="794"/>
      <c r="K38" s="794"/>
      <c r="L38" s="794"/>
      <c r="M38" s="795"/>
      <c r="N38" s="322"/>
    </row>
    <row r="39" spans="2:19" s="300" customFormat="1" ht="12.75" customHeight="1">
      <c r="B39" s="322"/>
      <c r="C39" s="774" t="s">
        <v>516</v>
      </c>
      <c r="D39" s="775"/>
      <c r="E39" s="366"/>
      <c r="F39" s="368" t="str">
        <f>I94</f>
        <v>TBD</v>
      </c>
      <c r="G39" s="369" t="str">
        <f>J94</f>
        <v>TBD</v>
      </c>
      <c r="H39" s="772"/>
      <c r="I39" s="772"/>
      <c r="J39" s="772"/>
      <c r="K39" s="772"/>
      <c r="L39" s="772"/>
      <c r="M39" s="773"/>
      <c r="N39" s="322"/>
    </row>
    <row r="40" spans="2:19" s="300" customFormat="1">
      <c r="B40" s="322"/>
      <c r="C40" s="774" t="s">
        <v>344</v>
      </c>
      <c r="D40" s="775"/>
      <c r="E40" s="366"/>
      <c r="F40" s="368" t="str">
        <f>I96</f>
        <v>TBD</v>
      </c>
      <c r="G40" s="368" t="str">
        <f>J96</f>
        <v>TBD</v>
      </c>
      <c r="H40" s="772"/>
      <c r="I40" s="772"/>
      <c r="J40" s="772"/>
      <c r="K40" s="772"/>
      <c r="L40" s="772"/>
      <c r="M40" s="773"/>
      <c r="N40" s="322"/>
    </row>
    <row r="41" spans="2:19" s="300" customFormat="1" ht="12.75" customHeight="1">
      <c r="B41" s="322"/>
      <c r="C41" s="774" t="s">
        <v>535</v>
      </c>
      <c r="D41" s="775"/>
      <c r="E41" s="366"/>
      <c r="F41" s="368" t="str">
        <f>'Westside Resyndication'!I102</f>
        <v>TBD</v>
      </c>
      <c r="G41" s="368" t="str">
        <f>J102</f>
        <v>TBD</v>
      </c>
      <c r="H41" s="772"/>
      <c r="I41" s="772"/>
      <c r="J41" s="772"/>
      <c r="K41" s="772"/>
      <c r="L41" s="772"/>
      <c r="M41" s="773"/>
      <c r="N41" s="322"/>
      <c r="P41" s="358"/>
      <c r="Q41" s="358"/>
      <c r="R41" s="358"/>
      <c r="S41" s="358"/>
    </row>
    <row r="42" spans="2:19" s="300" customFormat="1">
      <c r="B42" s="322"/>
      <c r="C42" s="774" t="s">
        <v>536</v>
      </c>
      <c r="D42" s="775"/>
      <c r="E42" s="366"/>
      <c r="F42" s="368" t="str">
        <f>I110</f>
        <v>TBD</v>
      </c>
      <c r="G42" s="368" t="str">
        <f>J110</f>
        <v>TBD</v>
      </c>
      <c r="H42" s="772"/>
      <c r="I42" s="772"/>
      <c r="J42" s="772"/>
      <c r="K42" s="772"/>
      <c r="L42" s="772"/>
      <c r="M42" s="773"/>
      <c r="N42" s="322"/>
      <c r="P42" s="358"/>
      <c r="Q42" s="358"/>
      <c r="R42" s="358"/>
      <c r="S42" s="358"/>
    </row>
    <row r="43" spans="2:19" s="300" customFormat="1">
      <c r="B43" s="322"/>
      <c r="C43" s="774" t="s">
        <v>517</v>
      </c>
      <c r="D43" s="775"/>
      <c r="E43" s="366"/>
      <c r="F43" s="368" t="str">
        <f>I131</f>
        <v>TBD</v>
      </c>
      <c r="G43" s="368" t="str">
        <f>J131</f>
        <v>TBD</v>
      </c>
      <c r="H43" s="772"/>
      <c r="I43" s="772"/>
      <c r="J43" s="772"/>
      <c r="K43" s="772"/>
      <c r="L43" s="772"/>
      <c r="M43" s="773"/>
      <c r="N43" s="322"/>
      <c r="P43" s="358"/>
      <c r="Q43" s="358"/>
      <c r="R43" s="358"/>
      <c r="S43" s="358"/>
    </row>
    <row r="44" spans="2:19" s="300" customFormat="1">
      <c r="B44" s="322"/>
      <c r="C44" s="774" t="s">
        <v>537</v>
      </c>
      <c r="D44" s="775"/>
      <c r="E44" s="366"/>
      <c r="F44" s="368" t="str">
        <f>I196</f>
        <v>TBD</v>
      </c>
      <c r="G44" s="368" t="str">
        <f>J196</f>
        <v>TBD</v>
      </c>
      <c r="H44" s="772"/>
      <c r="I44" s="772"/>
      <c r="J44" s="772"/>
      <c r="K44" s="772"/>
      <c r="L44" s="772"/>
      <c r="M44" s="773"/>
      <c r="N44" s="322"/>
      <c r="P44" s="358"/>
      <c r="Q44" s="358"/>
      <c r="R44" s="358"/>
      <c r="S44" s="358"/>
    </row>
    <row r="45" spans="2:19" s="300" customFormat="1">
      <c r="B45" s="322"/>
      <c r="C45" s="774" t="s">
        <v>519</v>
      </c>
      <c r="D45" s="775"/>
      <c r="E45" s="366"/>
      <c r="F45" s="368" t="str">
        <f>I200</f>
        <v>TBD</v>
      </c>
      <c r="G45" s="368" t="str">
        <f>J200</f>
        <v>TBD</v>
      </c>
      <c r="H45" s="772"/>
      <c r="I45" s="772"/>
      <c r="J45" s="772"/>
      <c r="K45" s="772"/>
      <c r="L45" s="772"/>
      <c r="M45" s="773"/>
      <c r="N45" s="322"/>
    </row>
    <row r="46" spans="2:19" s="300" customFormat="1">
      <c r="B46" s="322"/>
      <c r="C46" s="774" t="s">
        <v>538</v>
      </c>
      <c r="D46" s="775"/>
      <c r="E46" s="366"/>
      <c r="F46" s="368" t="str">
        <f>I232</f>
        <v>TBD</v>
      </c>
      <c r="G46" s="368" t="str">
        <f>J232</f>
        <v>TBD</v>
      </c>
      <c r="H46" s="772"/>
      <c r="I46" s="772"/>
      <c r="J46" s="772"/>
      <c r="K46" s="772"/>
      <c r="L46" s="772"/>
      <c r="M46" s="773"/>
      <c r="N46" s="322"/>
    </row>
    <row r="47" spans="2:19" s="300" customFormat="1">
      <c r="B47" s="322"/>
      <c r="C47" s="774" t="s">
        <v>55</v>
      </c>
      <c r="D47" s="775"/>
      <c r="E47" s="366"/>
      <c r="F47" s="368">
        <f>I225</f>
        <v>41609</v>
      </c>
      <c r="G47" s="368" t="str">
        <f>J225</f>
        <v>TBD</v>
      </c>
      <c r="H47" s="772"/>
      <c r="I47" s="772"/>
      <c r="J47" s="772"/>
      <c r="K47" s="772"/>
      <c r="L47" s="772"/>
      <c r="M47" s="773"/>
      <c r="N47" s="322"/>
    </row>
    <row r="48" spans="2:19" s="300" customFormat="1">
      <c r="B48" s="322"/>
      <c r="C48" s="774" t="s">
        <v>346</v>
      </c>
      <c r="D48" s="775"/>
      <c r="E48" s="366"/>
      <c r="F48" s="368">
        <f>I235</f>
        <v>41609</v>
      </c>
      <c r="G48" s="368" t="str">
        <f>J235</f>
        <v>TBD</v>
      </c>
      <c r="H48" s="772"/>
      <c r="I48" s="772"/>
      <c r="J48" s="772"/>
      <c r="K48" s="772"/>
      <c r="L48" s="772"/>
      <c r="M48" s="773"/>
      <c r="N48" s="322"/>
    </row>
    <row r="49" spans="2:14" s="300" customFormat="1">
      <c r="B49" s="322"/>
      <c r="C49" s="774" t="s">
        <v>347</v>
      </c>
      <c r="D49" s="775"/>
      <c r="E49" s="366"/>
      <c r="F49" s="368" t="str">
        <f>I237</f>
        <v>TBD</v>
      </c>
      <c r="G49" s="368" t="str">
        <f>J237</f>
        <v>TBD</v>
      </c>
      <c r="H49" s="772"/>
      <c r="I49" s="772"/>
      <c r="J49" s="772"/>
      <c r="K49" s="772"/>
      <c r="L49" s="772"/>
      <c r="M49" s="773"/>
      <c r="N49" s="322"/>
    </row>
    <row r="50" spans="2:14" s="300" customFormat="1">
      <c r="B50" s="322"/>
      <c r="C50" s="774" t="s">
        <v>348</v>
      </c>
      <c r="D50" s="775"/>
      <c r="E50" s="366"/>
      <c r="F50" s="368" t="str">
        <f>I254</f>
        <v>TBD</v>
      </c>
      <c r="G50" s="368" t="str">
        <f>J254</f>
        <v>TBD</v>
      </c>
      <c r="H50" s="772"/>
      <c r="I50" s="772"/>
      <c r="J50" s="772"/>
      <c r="K50" s="772"/>
      <c r="L50" s="772"/>
      <c r="M50" s="773"/>
      <c r="N50" s="322"/>
    </row>
    <row r="51" spans="2:14" s="300" customFormat="1">
      <c r="B51" s="322"/>
      <c r="C51" s="774" t="s">
        <v>65</v>
      </c>
      <c r="D51" s="775"/>
      <c r="E51" s="366"/>
      <c r="F51" s="368" t="str">
        <f>I255</f>
        <v>TBD</v>
      </c>
      <c r="G51" s="368" t="str">
        <f>J255</f>
        <v>TBD</v>
      </c>
      <c r="H51" s="772"/>
      <c r="I51" s="772"/>
      <c r="J51" s="772"/>
      <c r="K51" s="772"/>
      <c r="L51" s="772"/>
      <c r="M51" s="773"/>
      <c r="N51" s="322"/>
    </row>
    <row r="52" spans="2:14" s="300" customFormat="1">
      <c r="B52" s="322"/>
      <c r="C52" s="774" t="s">
        <v>540</v>
      </c>
      <c r="D52" s="775"/>
      <c r="E52" s="366"/>
      <c r="F52" s="368" t="str">
        <f>I273</f>
        <v>TBD</v>
      </c>
      <c r="G52" s="368" t="str">
        <f>J273</f>
        <v>TBD</v>
      </c>
      <c r="H52" s="772"/>
      <c r="I52" s="772"/>
      <c r="J52" s="772"/>
      <c r="K52" s="772"/>
      <c r="L52" s="772"/>
      <c r="M52" s="773"/>
      <c r="N52" s="322"/>
    </row>
    <row r="53" spans="2:14" s="300" customFormat="1">
      <c r="B53" s="322"/>
      <c r="C53" s="774" t="s">
        <v>542</v>
      </c>
      <c r="D53" s="775"/>
      <c r="E53" s="366"/>
      <c r="F53" s="368" t="str">
        <f>I276</f>
        <v>TBD</v>
      </c>
      <c r="G53" s="368" t="str">
        <f>J276</f>
        <v>TBD</v>
      </c>
      <c r="H53" s="772"/>
      <c r="I53" s="772"/>
      <c r="J53" s="772"/>
      <c r="K53" s="772"/>
      <c r="L53" s="772"/>
      <c r="M53" s="773"/>
      <c r="N53" s="322"/>
    </row>
    <row r="54" spans="2:14" s="300" customFormat="1">
      <c r="B54" s="322"/>
      <c r="C54" s="774">
        <v>8609</v>
      </c>
      <c r="D54" s="775"/>
      <c r="E54" s="366"/>
      <c r="F54" s="368" t="str">
        <f>I289</f>
        <v>TBD</v>
      </c>
      <c r="G54" s="368" t="str">
        <f>J289</f>
        <v>TBD</v>
      </c>
      <c r="H54" s="772"/>
      <c r="I54" s="772"/>
      <c r="J54" s="772"/>
      <c r="K54" s="772"/>
      <c r="L54" s="772"/>
      <c r="M54" s="773"/>
      <c r="N54" s="322"/>
    </row>
    <row r="55" spans="2:14" s="300" customFormat="1" ht="15" customHeight="1">
      <c r="B55" s="322"/>
      <c r="C55" s="774" t="s">
        <v>349</v>
      </c>
      <c r="D55" s="775"/>
      <c r="E55" s="344"/>
      <c r="F55" s="370" t="str">
        <f>I290</f>
        <v>TBD</v>
      </c>
      <c r="G55" s="371" t="str">
        <f>J290</f>
        <v>TBD</v>
      </c>
      <c r="H55" s="772"/>
      <c r="I55" s="772"/>
      <c r="J55" s="772"/>
      <c r="K55" s="772"/>
      <c r="L55" s="772"/>
      <c r="M55" s="773"/>
      <c r="N55" s="322"/>
    </row>
    <row r="56" spans="2:14" s="300" customFormat="1" ht="14">
      <c r="B56" s="322"/>
      <c r="C56" s="776" t="s">
        <v>69</v>
      </c>
      <c r="D56" s="777"/>
      <c r="E56" s="365"/>
      <c r="F56" s="338"/>
      <c r="G56" s="338"/>
      <c r="H56" s="772"/>
      <c r="I56" s="772"/>
      <c r="J56" s="772"/>
      <c r="K56" s="772"/>
      <c r="L56" s="772"/>
      <c r="M56" s="773"/>
      <c r="N56" s="322"/>
    </row>
    <row r="57" spans="2:14" s="300" customFormat="1" ht="14">
      <c r="B57" s="322"/>
      <c r="C57" s="770" t="s">
        <v>522</v>
      </c>
      <c r="D57" s="771"/>
      <c r="E57" s="365"/>
      <c r="F57" s="338"/>
      <c r="G57" s="338"/>
      <c r="H57" s="772"/>
      <c r="I57" s="772"/>
      <c r="J57" s="772"/>
      <c r="K57" s="772"/>
      <c r="L57" s="772"/>
      <c r="M57" s="773"/>
      <c r="N57" s="322"/>
    </row>
    <row r="58" spans="2:14" s="300" customFormat="1" ht="14">
      <c r="B58" s="322"/>
      <c r="C58" s="770" t="s">
        <v>522</v>
      </c>
      <c r="D58" s="771"/>
      <c r="E58" s="524"/>
      <c r="F58" s="525"/>
      <c r="G58" s="525"/>
      <c r="H58" s="772"/>
      <c r="I58" s="772"/>
      <c r="J58" s="772"/>
      <c r="K58" s="772"/>
      <c r="L58" s="772"/>
      <c r="M58" s="773"/>
      <c r="N58" s="322"/>
    </row>
    <row r="59" spans="2:14">
      <c r="B59" s="318"/>
      <c r="C59" s="318"/>
      <c r="D59" s="318"/>
      <c r="E59" s="318"/>
      <c r="F59" s="318"/>
      <c r="G59" s="318"/>
      <c r="H59" s="318"/>
      <c r="I59" s="318"/>
      <c r="J59" s="318"/>
      <c r="K59" s="318"/>
      <c r="L59" s="318"/>
      <c r="M59" s="318"/>
      <c r="N59" s="318"/>
    </row>
    <row r="60" spans="2:14" ht="16" thickBot="1"/>
    <row r="61" spans="2:14" ht="20" thickBot="1">
      <c r="C61" s="345" t="s">
        <v>521</v>
      </c>
      <c r="D61" s="345"/>
      <c r="E61" s="345"/>
      <c r="F61" s="323"/>
      <c r="G61" s="323"/>
      <c r="H61" s="323"/>
      <c r="I61" s="323"/>
      <c r="J61" s="324"/>
      <c r="K61" s="8"/>
      <c r="L61" s="8"/>
      <c r="M61" s="8"/>
    </row>
    <row r="62" spans="2:14" ht="16" thickBot="1">
      <c r="J62" s="8"/>
    </row>
    <row r="63" spans="2:14" ht="16" thickBot="1">
      <c r="C63" s="308" t="s">
        <v>350</v>
      </c>
      <c r="D63" s="308"/>
      <c r="E63" s="308"/>
      <c r="F63" s="308"/>
      <c r="H63" s="363"/>
      <c r="I63" s="768" t="str">
        <f>C2</f>
        <v>Westside Resyndication</v>
      </c>
      <c r="J63" s="769"/>
      <c r="K63" s="17"/>
      <c r="L63" s="17"/>
      <c r="M63" s="8"/>
      <c r="N63" s="17"/>
    </row>
    <row r="64" spans="2:14" ht="16" thickBot="1">
      <c r="C64" s="308" t="s">
        <v>351</v>
      </c>
      <c r="D64" s="308"/>
      <c r="E64" s="308"/>
      <c r="F64" s="308"/>
      <c r="H64" s="363"/>
      <c r="I64" s="768" t="str">
        <f>F7</f>
        <v>Chicago</v>
      </c>
      <c r="J64" s="769"/>
      <c r="K64" s="17"/>
      <c r="L64" s="17"/>
      <c r="M64" s="8"/>
      <c r="N64" s="17"/>
    </row>
    <row r="65" spans="2:15" ht="16" thickBot="1">
      <c r="C65" s="308" t="s">
        <v>352</v>
      </c>
      <c r="D65" s="308"/>
      <c r="E65" s="308"/>
      <c r="F65" s="308"/>
      <c r="H65" s="363"/>
      <c r="I65" s="768" t="str">
        <f>C3</f>
        <v>A Blakley</v>
      </c>
      <c r="J65" s="769"/>
      <c r="K65" s="17"/>
      <c r="L65" s="17"/>
      <c r="M65" s="8"/>
      <c r="N65" s="17"/>
    </row>
    <row r="66" spans="2:15">
      <c r="C66" s="2"/>
      <c r="D66" s="2"/>
      <c r="E66" s="2"/>
      <c r="F66" s="2"/>
      <c r="G66" s="2"/>
      <c r="H66" s="2"/>
      <c r="I66" s="2"/>
      <c r="J66" s="2"/>
      <c r="K66" s="2"/>
      <c r="L66" s="2"/>
      <c r="M66" s="301"/>
      <c r="N66" s="2"/>
      <c r="O66" s="301"/>
    </row>
    <row r="67" spans="2:15" ht="48">
      <c r="C67" s="302" t="s">
        <v>353</v>
      </c>
      <c r="D67" s="346"/>
      <c r="E67" s="346"/>
      <c r="F67" s="303"/>
      <c r="G67" s="347"/>
      <c r="H67" s="347"/>
      <c r="I67" s="304" t="s">
        <v>532</v>
      </c>
      <c r="J67" s="304" t="s">
        <v>527</v>
      </c>
    </row>
    <row r="68" spans="2:15">
      <c r="C68" s="2"/>
      <c r="D68" s="2"/>
      <c r="E68" s="2"/>
      <c r="F68" s="2"/>
      <c r="G68" s="2"/>
      <c r="H68" s="2"/>
      <c r="I68" s="2"/>
      <c r="J68" s="2"/>
      <c r="K68" s="305"/>
      <c r="L68" s="306"/>
      <c r="M68" s="306"/>
      <c r="N68" s="307"/>
      <c r="O68" s="301"/>
    </row>
    <row r="69" spans="2:15">
      <c r="B69" s="308" t="s">
        <v>354</v>
      </c>
      <c r="C69" s="308"/>
      <c r="D69" s="308"/>
      <c r="E69" s="308"/>
      <c r="F69" s="308"/>
      <c r="G69" s="308"/>
      <c r="H69" s="308"/>
      <c r="I69" s="2"/>
      <c r="J69" s="2"/>
      <c r="K69" s="301"/>
      <c r="N69" s="301"/>
    </row>
    <row r="70" spans="2:15">
      <c r="C70" s="2" t="s">
        <v>355</v>
      </c>
      <c r="D70" s="2"/>
      <c r="E70" s="2"/>
      <c r="F70" s="2"/>
      <c r="G70" s="2"/>
      <c r="H70" s="2"/>
      <c r="I70" s="332" t="s">
        <v>14</v>
      </c>
      <c r="J70" s="332" t="s">
        <v>14</v>
      </c>
    </row>
    <row r="71" spans="2:15">
      <c r="C71" s="2" t="s">
        <v>356</v>
      </c>
      <c r="D71" s="2"/>
      <c r="E71" s="2"/>
      <c r="F71" s="2"/>
      <c r="G71" s="2"/>
      <c r="H71" s="2"/>
      <c r="I71" s="332" t="s">
        <v>14</v>
      </c>
      <c r="J71" s="332" t="s">
        <v>14</v>
      </c>
    </row>
    <row r="72" spans="2:15">
      <c r="C72" s="2" t="s">
        <v>357</v>
      </c>
      <c r="D72" s="2"/>
      <c r="E72" s="2"/>
      <c r="F72" s="2"/>
      <c r="G72" s="2"/>
      <c r="H72" s="2"/>
      <c r="I72" s="332" t="s">
        <v>14</v>
      </c>
      <c r="J72" s="332" t="s">
        <v>14</v>
      </c>
    </row>
    <row r="73" spans="2:15">
      <c r="C73" s="2" t="s">
        <v>358</v>
      </c>
      <c r="D73" s="2"/>
      <c r="E73" s="2"/>
      <c r="F73" s="2"/>
      <c r="G73" s="2"/>
      <c r="H73" s="2"/>
      <c r="I73" s="332" t="s">
        <v>14</v>
      </c>
      <c r="J73" s="332" t="s">
        <v>14</v>
      </c>
    </row>
    <row r="74" spans="2:15">
      <c r="C74" s="312" t="s">
        <v>359</v>
      </c>
      <c r="D74" s="312"/>
      <c r="E74" s="312"/>
      <c r="F74" s="312"/>
      <c r="G74" s="312"/>
      <c r="H74" s="312"/>
      <c r="I74" s="332" t="s">
        <v>14</v>
      </c>
      <c r="J74" s="332" t="s">
        <v>14</v>
      </c>
    </row>
    <row r="75" spans="2:15">
      <c r="C75" s="2" t="s">
        <v>360</v>
      </c>
      <c r="D75" s="2"/>
      <c r="E75" s="2"/>
      <c r="F75" s="312"/>
      <c r="G75" s="312"/>
      <c r="H75" s="312"/>
      <c r="I75" s="332" t="s">
        <v>14</v>
      </c>
      <c r="J75" s="332" t="s">
        <v>14</v>
      </c>
    </row>
    <row r="76" spans="2:15">
      <c r="C76" s="2" t="s">
        <v>361</v>
      </c>
      <c r="D76" s="2"/>
      <c r="E76" s="2"/>
      <c r="F76" s="312"/>
      <c r="G76" s="312"/>
      <c r="H76" s="312"/>
      <c r="I76" s="332" t="s">
        <v>14</v>
      </c>
      <c r="J76" s="332" t="s">
        <v>14</v>
      </c>
    </row>
    <row r="77" spans="2:15">
      <c r="C77" s="2" t="s">
        <v>362</v>
      </c>
      <c r="D77" s="2"/>
      <c r="E77" s="2"/>
      <c r="F77" s="312"/>
      <c r="G77" s="312"/>
      <c r="H77" s="312"/>
      <c r="I77" s="330"/>
      <c r="J77" s="330"/>
    </row>
    <row r="78" spans="2:15">
      <c r="C78" s="312" t="s">
        <v>363</v>
      </c>
      <c r="D78" s="312"/>
      <c r="E78" s="312"/>
      <c r="F78" s="312"/>
      <c r="G78" s="312"/>
      <c r="H78" s="312"/>
      <c r="I78" s="332" t="s">
        <v>14</v>
      </c>
      <c r="J78" s="332" t="s">
        <v>14</v>
      </c>
    </row>
    <row r="79" spans="2:15">
      <c r="C79" s="312" t="s">
        <v>364</v>
      </c>
      <c r="D79" s="312"/>
      <c r="E79" s="312"/>
      <c r="F79" s="312"/>
      <c r="G79" s="312"/>
      <c r="H79" s="312"/>
      <c r="I79" s="332" t="s">
        <v>14</v>
      </c>
      <c r="J79" s="332" t="s">
        <v>14</v>
      </c>
    </row>
    <row r="80" spans="2:15">
      <c r="C80" s="312" t="s">
        <v>365</v>
      </c>
      <c r="D80" s="312"/>
      <c r="E80" s="312"/>
      <c r="F80" s="312"/>
      <c r="G80" s="312"/>
      <c r="H80" s="312"/>
      <c r="I80" s="332" t="s">
        <v>14</v>
      </c>
      <c r="J80" s="332" t="s">
        <v>14</v>
      </c>
    </row>
    <row r="81" spans="2:10">
      <c r="C81" s="315" t="s">
        <v>366</v>
      </c>
      <c r="D81" s="315"/>
      <c r="E81" s="315"/>
      <c r="F81" s="314"/>
      <c r="G81" s="314"/>
      <c r="H81" s="314"/>
      <c r="I81" s="332" t="s">
        <v>14</v>
      </c>
      <c r="J81" s="332" t="s">
        <v>14</v>
      </c>
    </row>
    <row r="82" spans="2:10">
      <c r="C82" s="2" t="s">
        <v>367</v>
      </c>
      <c r="D82" s="2"/>
      <c r="E82" s="2"/>
      <c r="F82" s="312"/>
      <c r="G82" s="312"/>
      <c r="H82" s="312"/>
      <c r="I82" s="330"/>
      <c r="J82" s="330"/>
    </row>
    <row r="83" spans="2:10">
      <c r="C83" s="312" t="s">
        <v>368</v>
      </c>
      <c r="D83" s="312"/>
      <c r="E83" s="312"/>
      <c r="F83" s="312"/>
      <c r="G83" s="312"/>
      <c r="H83" s="312"/>
      <c r="I83" s="332" t="s">
        <v>14</v>
      </c>
      <c r="J83" s="332" t="s">
        <v>14</v>
      </c>
    </row>
    <row r="84" spans="2:10">
      <c r="C84" s="312" t="s">
        <v>369</v>
      </c>
      <c r="D84" s="312"/>
      <c r="E84" s="312"/>
      <c r="F84" s="312"/>
      <c r="G84" s="312"/>
      <c r="H84" s="312"/>
      <c r="I84" s="332" t="s">
        <v>14</v>
      </c>
      <c r="J84" s="332" t="s">
        <v>14</v>
      </c>
    </row>
    <row r="85" spans="2:10">
      <c r="C85" s="312" t="s">
        <v>370</v>
      </c>
      <c r="D85" s="312"/>
      <c r="E85" s="312"/>
      <c r="F85" s="312"/>
      <c r="G85" s="312"/>
      <c r="H85" s="312"/>
      <c r="I85" s="332" t="s">
        <v>14</v>
      </c>
      <c r="J85" s="332" t="s">
        <v>14</v>
      </c>
    </row>
    <row r="86" spans="2:10">
      <c r="C86" s="2" t="s">
        <v>371</v>
      </c>
      <c r="D86" s="2"/>
      <c r="E86" s="2"/>
      <c r="F86" s="312"/>
      <c r="G86" s="312"/>
      <c r="H86" s="312"/>
      <c r="I86" s="332" t="s">
        <v>14</v>
      </c>
      <c r="J86" s="332" t="s">
        <v>14</v>
      </c>
    </row>
    <row r="87" spans="2:10">
      <c r="C87" s="2" t="s">
        <v>372</v>
      </c>
      <c r="D87" s="2"/>
      <c r="E87" s="2"/>
      <c r="F87" s="312"/>
      <c r="G87" s="312"/>
      <c r="H87" s="312"/>
      <c r="I87" s="332" t="s">
        <v>14</v>
      </c>
      <c r="J87" s="332" t="s">
        <v>14</v>
      </c>
    </row>
    <row r="88" spans="2:10">
      <c r="C88" s="2" t="s">
        <v>373</v>
      </c>
      <c r="D88" s="2"/>
      <c r="E88" s="2"/>
      <c r="F88" s="312"/>
      <c r="G88" s="312"/>
      <c r="H88" s="312"/>
      <c r="I88" s="332" t="s">
        <v>14</v>
      </c>
      <c r="J88" s="332" t="s">
        <v>14</v>
      </c>
    </row>
    <row r="89" spans="2:10">
      <c r="C89" s="2" t="s">
        <v>374</v>
      </c>
      <c r="D89" s="2"/>
      <c r="E89" s="2"/>
      <c r="F89" s="312"/>
      <c r="G89" s="312"/>
      <c r="H89" s="312"/>
      <c r="I89" s="332" t="s">
        <v>14</v>
      </c>
      <c r="J89" s="332" t="s">
        <v>14</v>
      </c>
    </row>
    <row r="90" spans="2:10">
      <c r="C90" s="2" t="s">
        <v>375</v>
      </c>
      <c r="D90" s="2"/>
      <c r="E90" s="2"/>
      <c r="F90" s="312"/>
      <c r="G90" s="312"/>
      <c r="H90" s="312"/>
      <c r="I90" s="332" t="s">
        <v>14</v>
      </c>
      <c r="J90" s="332" t="s">
        <v>14</v>
      </c>
    </row>
    <row r="91" spans="2:10">
      <c r="C91" s="2" t="s">
        <v>376</v>
      </c>
      <c r="D91" s="2"/>
      <c r="E91" s="2"/>
      <c r="F91" s="312"/>
      <c r="G91" s="312"/>
      <c r="H91" s="312"/>
      <c r="I91" s="332" t="s">
        <v>14</v>
      </c>
      <c r="J91" s="332" t="s">
        <v>14</v>
      </c>
    </row>
    <row r="92" spans="2:10">
      <c r="C92" s="308" t="s">
        <v>377</v>
      </c>
      <c r="D92" s="308"/>
      <c r="E92" s="308"/>
      <c r="F92" s="312"/>
      <c r="G92" s="312"/>
      <c r="H92" s="312"/>
      <c r="I92" s="364" t="s">
        <v>14</v>
      </c>
      <c r="J92" s="364" t="s">
        <v>14</v>
      </c>
    </row>
    <row r="93" spans="2:10">
      <c r="C93" s="2"/>
      <c r="D93" s="2"/>
      <c r="E93" s="2"/>
      <c r="F93" s="312"/>
      <c r="G93" s="312"/>
      <c r="H93" s="312"/>
      <c r="I93" s="331"/>
      <c r="J93" s="331"/>
    </row>
    <row r="94" spans="2:10">
      <c r="B94" s="309" t="s">
        <v>378</v>
      </c>
      <c r="C94" s="308"/>
      <c r="D94" s="308"/>
      <c r="E94" s="308"/>
      <c r="F94" s="313"/>
      <c r="G94" s="313"/>
      <c r="H94" s="313"/>
      <c r="I94" s="364" t="s">
        <v>14</v>
      </c>
      <c r="J94" s="364" t="s">
        <v>14</v>
      </c>
    </row>
    <row r="95" spans="2:10">
      <c r="B95" s="309"/>
      <c r="C95" s="308"/>
      <c r="D95" s="308"/>
      <c r="E95" s="308"/>
      <c r="F95" s="313"/>
      <c r="G95" s="313"/>
      <c r="H95" s="313"/>
      <c r="I95" s="331"/>
      <c r="J95" s="331"/>
    </row>
    <row r="96" spans="2:10">
      <c r="B96" s="308" t="s">
        <v>512</v>
      </c>
      <c r="C96" s="2"/>
      <c r="D96" s="2"/>
      <c r="E96" s="2"/>
      <c r="F96" s="312"/>
      <c r="G96" s="312"/>
      <c r="H96" s="312"/>
      <c r="I96" s="364" t="s">
        <v>14</v>
      </c>
      <c r="J96" s="364" t="s">
        <v>14</v>
      </c>
    </row>
    <row r="97" spans="2:10">
      <c r="B97" s="2"/>
      <c r="C97" s="2"/>
      <c r="D97" s="2"/>
      <c r="E97" s="2"/>
      <c r="F97" s="312"/>
      <c r="G97" s="312"/>
      <c r="H97" s="312"/>
      <c r="I97" s="331"/>
      <c r="J97" s="331"/>
    </row>
    <row r="98" spans="2:10">
      <c r="B98" s="308" t="s">
        <v>379</v>
      </c>
      <c r="C98" s="2"/>
      <c r="D98" s="2"/>
      <c r="E98" s="2"/>
      <c r="F98" s="312"/>
      <c r="G98" s="312"/>
      <c r="H98" s="312"/>
      <c r="I98" s="331"/>
      <c r="J98" s="331"/>
    </row>
    <row r="99" spans="2:10">
      <c r="C99" s="2" t="s">
        <v>380</v>
      </c>
      <c r="D99" s="2"/>
      <c r="E99" s="2"/>
      <c r="F99" s="312"/>
      <c r="G99" s="312"/>
      <c r="H99" s="312"/>
      <c r="I99" s="332" t="s">
        <v>14</v>
      </c>
      <c r="J99" s="332" t="s">
        <v>14</v>
      </c>
    </row>
    <row r="100" spans="2:10">
      <c r="C100" s="2" t="s">
        <v>381</v>
      </c>
      <c r="D100" s="2"/>
      <c r="E100" s="2"/>
      <c r="F100" s="312"/>
      <c r="G100" s="312"/>
      <c r="H100" s="312"/>
      <c r="I100" s="332" t="s">
        <v>14</v>
      </c>
      <c r="J100" s="332" t="s">
        <v>14</v>
      </c>
    </row>
    <row r="101" spans="2:10">
      <c r="C101" s="2" t="s">
        <v>382</v>
      </c>
      <c r="D101" s="2"/>
      <c r="E101" s="2"/>
      <c r="F101" s="312"/>
      <c r="G101" s="312"/>
      <c r="H101" s="312"/>
      <c r="I101" s="332" t="s">
        <v>14</v>
      </c>
      <c r="J101" s="332" t="s">
        <v>14</v>
      </c>
    </row>
    <row r="102" spans="2:10">
      <c r="C102" s="308" t="s">
        <v>534</v>
      </c>
      <c r="D102" s="2"/>
      <c r="E102" s="2"/>
      <c r="F102" s="312"/>
      <c r="G102" s="312"/>
      <c r="H102" s="312"/>
      <c r="I102" s="364" t="s">
        <v>14</v>
      </c>
      <c r="J102" s="364" t="s">
        <v>14</v>
      </c>
    </row>
    <row r="103" spans="2:10">
      <c r="C103" s="2" t="s">
        <v>524</v>
      </c>
      <c r="D103" s="2"/>
      <c r="E103" s="2"/>
      <c r="F103" s="312"/>
      <c r="G103" s="312"/>
      <c r="H103" s="312"/>
      <c r="I103" s="332" t="s">
        <v>14</v>
      </c>
      <c r="J103" s="332" t="s">
        <v>14</v>
      </c>
    </row>
    <row r="104" spans="2:10">
      <c r="C104" s="2" t="s">
        <v>383</v>
      </c>
      <c r="D104" s="2"/>
      <c r="E104" s="2"/>
      <c r="F104" s="312"/>
      <c r="G104" s="312"/>
      <c r="H104" s="312"/>
      <c r="I104" s="332" t="s">
        <v>14</v>
      </c>
      <c r="J104" s="332" t="s">
        <v>14</v>
      </c>
    </row>
    <row r="105" spans="2:10">
      <c r="C105" s="2" t="s">
        <v>384</v>
      </c>
      <c r="D105" s="2"/>
      <c r="E105" s="2"/>
      <c r="F105" s="312"/>
      <c r="G105" s="312"/>
      <c r="H105" s="312"/>
      <c r="I105" s="332" t="s">
        <v>14</v>
      </c>
      <c r="J105" s="332" t="s">
        <v>14</v>
      </c>
    </row>
    <row r="106" spans="2:10">
      <c r="C106" s="2" t="s">
        <v>544</v>
      </c>
      <c r="D106" s="2"/>
      <c r="E106" s="2"/>
      <c r="F106" s="312"/>
      <c r="G106" s="312"/>
      <c r="H106" s="312"/>
      <c r="I106" s="332" t="s">
        <v>14</v>
      </c>
      <c r="J106" s="332" t="s">
        <v>14</v>
      </c>
    </row>
    <row r="107" spans="2:10">
      <c r="C107" s="2" t="s">
        <v>385</v>
      </c>
      <c r="D107" s="2"/>
      <c r="E107" s="2"/>
      <c r="F107" s="312"/>
      <c r="G107" s="312"/>
      <c r="H107" s="312"/>
      <c r="I107" s="332" t="s">
        <v>14</v>
      </c>
      <c r="J107" s="332" t="s">
        <v>14</v>
      </c>
    </row>
    <row r="108" spans="2:10">
      <c r="C108" s="2" t="s">
        <v>386</v>
      </c>
      <c r="D108" s="2"/>
      <c r="E108" s="2"/>
      <c r="F108" s="312"/>
      <c r="G108" s="312"/>
      <c r="H108" s="312"/>
      <c r="I108" s="332" t="s">
        <v>14</v>
      </c>
      <c r="J108" s="332" t="s">
        <v>14</v>
      </c>
    </row>
    <row r="109" spans="2:10">
      <c r="C109" s="2" t="s">
        <v>523</v>
      </c>
      <c r="D109" s="2"/>
      <c r="E109" s="2"/>
      <c r="F109" s="312"/>
      <c r="G109" s="312"/>
      <c r="H109" s="312"/>
      <c r="I109" s="332" t="s">
        <v>14</v>
      </c>
      <c r="J109" s="332" t="s">
        <v>14</v>
      </c>
    </row>
    <row r="110" spans="2:10">
      <c r="C110" s="308" t="s">
        <v>526</v>
      </c>
      <c r="D110" s="2"/>
      <c r="E110" s="2"/>
      <c r="F110" s="312"/>
      <c r="G110" s="312"/>
      <c r="H110" s="312"/>
      <c r="I110" s="364" t="s">
        <v>14</v>
      </c>
      <c r="J110" s="364" t="s">
        <v>14</v>
      </c>
    </row>
    <row r="111" spans="2:10">
      <c r="C111" s="2"/>
      <c r="D111" s="2"/>
      <c r="E111" s="2"/>
      <c r="F111" s="312"/>
      <c r="G111" s="312"/>
      <c r="H111" s="312"/>
      <c r="I111" s="331"/>
      <c r="J111" s="331"/>
    </row>
    <row r="112" spans="2:10">
      <c r="B112" s="308" t="s">
        <v>218</v>
      </c>
      <c r="C112" s="301"/>
      <c r="D112" s="301"/>
      <c r="E112" s="301"/>
      <c r="F112" s="312"/>
      <c r="G112" s="312"/>
      <c r="H112" s="312"/>
      <c r="I112" s="331"/>
      <c r="J112" s="331"/>
    </row>
    <row r="113" spans="3:10">
      <c r="C113" s="310" t="s">
        <v>387</v>
      </c>
      <c r="D113" s="310"/>
      <c r="E113" s="310"/>
      <c r="F113" s="312"/>
      <c r="G113" s="312"/>
      <c r="H113" s="312"/>
      <c r="I113" s="333"/>
      <c r="J113" s="333"/>
    </row>
    <row r="114" spans="3:10">
      <c r="C114" s="312" t="s">
        <v>388</v>
      </c>
      <c r="D114" s="312"/>
      <c r="E114" s="312"/>
      <c r="F114" s="312"/>
      <c r="G114" s="312"/>
      <c r="H114" s="312"/>
      <c r="I114" s="334"/>
      <c r="J114" s="334"/>
    </row>
    <row r="115" spans="3:10">
      <c r="C115" s="315" t="s">
        <v>389</v>
      </c>
      <c r="D115" s="315"/>
      <c r="E115" s="315"/>
      <c r="F115" s="315"/>
      <c r="G115" s="315"/>
      <c r="H115" s="315"/>
      <c r="I115" s="332" t="s">
        <v>14</v>
      </c>
      <c r="J115" s="332" t="s">
        <v>14</v>
      </c>
    </row>
    <row r="116" spans="3:10">
      <c r="C116" s="315" t="s">
        <v>342</v>
      </c>
      <c r="D116" s="315"/>
      <c r="E116" s="315"/>
      <c r="F116" s="315"/>
      <c r="G116" s="315"/>
      <c r="H116" s="315"/>
      <c r="I116" s="332" t="s">
        <v>14</v>
      </c>
      <c r="J116" s="332" t="s">
        <v>14</v>
      </c>
    </row>
    <row r="117" spans="3:10">
      <c r="C117" s="315" t="s">
        <v>390</v>
      </c>
      <c r="D117" s="315"/>
      <c r="E117" s="315"/>
      <c r="F117" s="315"/>
      <c r="G117" s="315"/>
      <c r="H117" s="315"/>
      <c r="I117" s="332" t="s">
        <v>14</v>
      </c>
      <c r="J117" s="332" t="s">
        <v>14</v>
      </c>
    </row>
    <row r="118" spans="3:10">
      <c r="C118" s="312" t="s">
        <v>391</v>
      </c>
      <c r="D118" s="312"/>
      <c r="E118" s="312"/>
      <c r="F118" s="312"/>
      <c r="G118" s="312"/>
      <c r="H118" s="312"/>
      <c r="I118" s="335"/>
      <c r="J118" s="335"/>
    </row>
    <row r="119" spans="3:10">
      <c r="C119" s="315" t="s">
        <v>389</v>
      </c>
      <c r="D119" s="315"/>
      <c r="E119" s="315"/>
      <c r="F119" s="315"/>
      <c r="G119" s="315"/>
      <c r="H119" s="315"/>
      <c r="I119" s="333"/>
      <c r="J119" s="333"/>
    </row>
    <row r="120" spans="3:10">
      <c r="C120" s="315" t="s">
        <v>392</v>
      </c>
      <c r="D120" s="315"/>
      <c r="E120" s="315"/>
      <c r="F120" s="315"/>
      <c r="G120" s="315"/>
      <c r="H120" s="315"/>
      <c r="I120" s="332" t="s">
        <v>14</v>
      </c>
      <c r="J120" s="332" t="s">
        <v>14</v>
      </c>
    </row>
    <row r="121" spans="3:10">
      <c r="C121" s="315" t="s">
        <v>393</v>
      </c>
      <c r="D121" s="315"/>
      <c r="E121" s="315"/>
      <c r="F121" s="315"/>
      <c r="G121" s="315"/>
      <c r="H121" s="315"/>
      <c r="I121" s="332" t="s">
        <v>14</v>
      </c>
      <c r="J121" s="332" t="s">
        <v>14</v>
      </c>
    </row>
    <row r="122" spans="3:10">
      <c r="C122" s="315" t="s">
        <v>394</v>
      </c>
      <c r="D122" s="315"/>
      <c r="E122" s="315"/>
      <c r="F122" s="315"/>
      <c r="G122" s="315"/>
      <c r="H122" s="315"/>
      <c r="I122" s="332" t="s">
        <v>14</v>
      </c>
      <c r="J122" s="332" t="s">
        <v>14</v>
      </c>
    </row>
    <row r="123" spans="3:10">
      <c r="C123" s="315" t="s">
        <v>395</v>
      </c>
      <c r="D123" s="315"/>
      <c r="E123" s="315"/>
      <c r="F123" s="315"/>
      <c r="G123" s="315"/>
      <c r="H123" s="315"/>
      <c r="I123" s="330"/>
      <c r="J123" s="330"/>
    </row>
    <row r="124" spans="3:10">
      <c r="C124" s="315" t="s">
        <v>392</v>
      </c>
      <c r="D124" s="315"/>
      <c r="E124" s="315"/>
      <c r="F124" s="315"/>
      <c r="G124" s="315"/>
      <c r="H124" s="315"/>
      <c r="I124" s="332" t="s">
        <v>14</v>
      </c>
      <c r="J124" s="332" t="s">
        <v>14</v>
      </c>
    </row>
    <row r="125" spans="3:10">
      <c r="C125" s="315" t="s">
        <v>393</v>
      </c>
      <c r="D125" s="315"/>
      <c r="E125" s="315"/>
      <c r="F125" s="315"/>
      <c r="G125" s="315"/>
      <c r="H125" s="315"/>
      <c r="I125" s="332" t="s">
        <v>14</v>
      </c>
      <c r="J125" s="332" t="s">
        <v>14</v>
      </c>
    </row>
    <row r="126" spans="3:10">
      <c r="C126" s="315" t="s">
        <v>394</v>
      </c>
      <c r="D126" s="315"/>
      <c r="E126" s="315"/>
      <c r="F126" s="315"/>
      <c r="G126" s="315"/>
      <c r="H126" s="315"/>
      <c r="I126" s="332" t="s">
        <v>14</v>
      </c>
      <c r="J126" s="332" t="s">
        <v>14</v>
      </c>
    </row>
    <row r="127" spans="3:10">
      <c r="C127" s="315" t="s">
        <v>396</v>
      </c>
      <c r="D127" s="315"/>
      <c r="E127" s="315"/>
      <c r="F127" s="315"/>
      <c r="G127" s="315"/>
      <c r="H127" s="315"/>
      <c r="I127" s="332" t="s">
        <v>14</v>
      </c>
      <c r="J127" s="332" t="s">
        <v>14</v>
      </c>
    </row>
    <row r="128" spans="3:10">
      <c r="C128" s="315" t="s">
        <v>390</v>
      </c>
      <c r="D128" s="315"/>
      <c r="E128" s="315"/>
      <c r="F128" s="315"/>
      <c r="G128" s="315"/>
      <c r="H128" s="315"/>
      <c r="I128" s="330"/>
      <c r="J128" s="330"/>
    </row>
    <row r="129" spans="2:10">
      <c r="C129" s="315" t="s">
        <v>392</v>
      </c>
      <c r="D129" s="315"/>
      <c r="E129" s="315"/>
      <c r="F129" s="315"/>
      <c r="G129" s="315"/>
      <c r="H129" s="315"/>
      <c r="I129" s="332" t="s">
        <v>14</v>
      </c>
      <c r="J129" s="332" t="s">
        <v>14</v>
      </c>
    </row>
    <row r="130" spans="2:10">
      <c r="C130" s="315" t="s">
        <v>393</v>
      </c>
      <c r="D130" s="315"/>
      <c r="E130" s="315"/>
      <c r="F130" s="315"/>
      <c r="G130" s="315"/>
      <c r="H130" s="315"/>
      <c r="I130" s="332" t="s">
        <v>14</v>
      </c>
      <c r="J130" s="332" t="s">
        <v>14</v>
      </c>
    </row>
    <row r="131" spans="2:10">
      <c r="C131" s="313" t="s">
        <v>528</v>
      </c>
      <c r="D131" s="312"/>
      <c r="E131" s="312"/>
      <c r="F131" s="312"/>
      <c r="G131" s="312"/>
      <c r="H131" s="312"/>
      <c r="I131" s="364" t="s">
        <v>14</v>
      </c>
      <c r="J131" s="364" t="s">
        <v>14</v>
      </c>
    </row>
    <row r="132" spans="2:10">
      <c r="C132" s="312"/>
      <c r="D132" s="312"/>
      <c r="E132" s="312"/>
      <c r="F132" s="312"/>
      <c r="G132" s="312"/>
      <c r="H132" s="312"/>
      <c r="I132" s="333"/>
      <c r="J132" s="333"/>
    </row>
    <row r="133" spans="2:10">
      <c r="B133" s="308" t="s">
        <v>397</v>
      </c>
      <c r="C133" s="308"/>
      <c r="D133" s="308"/>
      <c r="E133" s="308"/>
      <c r="F133" s="312"/>
      <c r="G133" s="312"/>
      <c r="H133" s="312"/>
      <c r="I133" s="331"/>
      <c r="J133" s="331"/>
    </row>
    <row r="134" spans="2:10">
      <c r="C134" s="2" t="s">
        <v>356</v>
      </c>
      <c r="D134" s="2"/>
      <c r="E134" s="2"/>
      <c r="F134" s="312"/>
      <c r="G134" s="312"/>
      <c r="H134" s="312"/>
      <c r="I134" s="332" t="s">
        <v>14</v>
      </c>
      <c r="J134" s="332" t="s">
        <v>14</v>
      </c>
    </row>
    <row r="135" spans="2:10">
      <c r="C135" s="2" t="s">
        <v>398</v>
      </c>
      <c r="D135" s="2"/>
      <c r="E135" s="2"/>
      <c r="F135" s="312"/>
      <c r="G135" s="312"/>
      <c r="H135" s="312"/>
      <c r="I135" s="332" t="s">
        <v>14</v>
      </c>
      <c r="J135" s="332" t="s">
        <v>14</v>
      </c>
    </row>
    <row r="136" spans="2:10">
      <c r="C136" s="2" t="s">
        <v>399</v>
      </c>
      <c r="D136" s="2"/>
      <c r="E136" s="2"/>
      <c r="F136" s="312"/>
      <c r="G136" s="312"/>
      <c r="H136" s="312"/>
      <c r="I136" s="332" t="s">
        <v>14</v>
      </c>
      <c r="J136" s="332" t="s">
        <v>14</v>
      </c>
    </row>
    <row r="137" spans="2:10">
      <c r="C137" s="312" t="s">
        <v>363</v>
      </c>
      <c r="D137" s="312"/>
      <c r="E137" s="312"/>
      <c r="F137" s="312"/>
      <c r="G137" s="312"/>
      <c r="H137" s="312"/>
      <c r="I137" s="332" t="s">
        <v>14</v>
      </c>
      <c r="J137" s="332" t="s">
        <v>14</v>
      </c>
    </row>
    <row r="138" spans="2:10">
      <c r="C138" s="2" t="s">
        <v>400</v>
      </c>
      <c r="D138" s="2"/>
      <c r="E138" s="2"/>
      <c r="F138" s="312"/>
      <c r="G138" s="312"/>
      <c r="H138" s="312"/>
      <c r="I138" s="332" t="s">
        <v>14</v>
      </c>
      <c r="J138" s="332" t="s">
        <v>14</v>
      </c>
    </row>
    <row r="139" spans="2:10">
      <c r="C139" s="2" t="s">
        <v>401</v>
      </c>
      <c r="D139" s="2"/>
      <c r="E139" s="2"/>
      <c r="F139" s="312"/>
      <c r="G139" s="312"/>
      <c r="H139" s="312"/>
      <c r="I139" s="332" t="s">
        <v>14</v>
      </c>
      <c r="J139" s="332" t="s">
        <v>14</v>
      </c>
    </row>
    <row r="140" spans="2:10">
      <c r="C140" s="2" t="s">
        <v>402</v>
      </c>
      <c r="D140" s="2"/>
      <c r="E140" s="2"/>
      <c r="F140" s="312"/>
      <c r="G140" s="312"/>
      <c r="H140" s="312"/>
      <c r="I140" s="332" t="s">
        <v>14</v>
      </c>
      <c r="J140" s="332" t="s">
        <v>14</v>
      </c>
    </row>
    <row r="141" spans="2:10">
      <c r="C141" s="312" t="s">
        <v>403</v>
      </c>
      <c r="D141" s="312"/>
      <c r="E141" s="312"/>
      <c r="F141" s="312"/>
      <c r="G141" s="312"/>
      <c r="H141" s="312"/>
      <c r="I141" s="332" t="s">
        <v>14</v>
      </c>
      <c r="J141" s="332" t="s">
        <v>14</v>
      </c>
    </row>
    <row r="142" spans="2:10">
      <c r="C142" s="312" t="s">
        <v>404</v>
      </c>
      <c r="D142" s="312"/>
      <c r="E142" s="312"/>
      <c r="F142" s="312"/>
      <c r="G142" s="312"/>
      <c r="H142" s="312"/>
      <c r="I142" s="332" t="s">
        <v>14</v>
      </c>
      <c r="J142" s="332" t="s">
        <v>14</v>
      </c>
    </row>
    <row r="143" spans="2:10">
      <c r="C143" s="312" t="s">
        <v>405</v>
      </c>
      <c r="D143" s="312"/>
      <c r="E143" s="312"/>
      <c r="F143" s="312"/>
      <c r="G143" s="312"/>
      <c r="H143" s="312"/>
      <c r="I143" s="332" t="s">
        <v>14</v>
      </c>
      <c r="J143" s="332" t="s">
        <v>14</v>
      </c>
    </row>
    <row r="144" spans="2:10">
      <c r="C144" s="2" t="s">
        <v>406</v>
      </c>
      <c r="D144" s="2"/>
      <c r="E144" s="2"/>
      <c r="F144" s="312"/>
      <c r="G144" s="312"/>
      <c r="H144" s="312"/>
      <c r="I144" s="332" t="s">
        <v>14</v>
      </c>
      <c r="J144" s="332" t="s">
        <v>14</v>
      </c>
    </row>
    <row r="145" spans="3:10">
      <c r="C145" s="2" t="s">
        <v>407</v>
      </c>
      <c r="D145" s="2"/>
      <c r="E145" s="2"/>
      <c r="F145" s="312"/>
      <c r="G145" s="312"/>
      <c r="H145" s="312"/>
      <c r="I145" s="332" t="s">
        <v>14</v>
      </c>
      <c r="J145" s="332" t="s">
        <v>14</v>
      </c>
    </row>
    <row r="146" spans="3:10">
      <c r="C146" s="312" t="s">
        <v>408</v>
      </c>
      <c r="D146" s="312"/>
      <c r="E146" s="312"/>
      <c r="F146" s="312"/>
      <c r="G146" s="312"/>
      <c r="H146" s="312"/>
      <c r="I146" s="332" t="s">
        <v>14</v>
      </c>
      <c r="J146" s="332" t="s">
        <v>14</v>
      </c>
    </row>
    <row r="147" spans="3:10">
      <c r="C147" s="312" t="s">
        <v>409</v>
      </c>
      <c r="D147" s="312"/>
      <c r="E147" s="312"/>
      <c r="F147" s="312"/>
      <c r="G147" s="312"/>
      <c r="H147" s="312"/>
      <c r="I147" s="332" t="s">
        <v>14</v>
      </c>
      <c r="J147" s="332" t="s">
        <v>14</v>
      </c>
    </row>
    <row r="148" spans="3:10">
      <c r="C148" s="2" t="s">
        <v>410</v>
      </c>
      <c r="D148" s="2"/>
      <c r="E148" s="2"/>
      <c r="F148" s="312"/>
      <c r="G148" s="312"/>
      <c r="H148" s="312"/>
      <c r="I148" s="332" t="s">
        <v>14</v>
      </c>
      <c r="J148" s="332" t="s">
        <v>14</v>
      </c>
    </row>
    <row r="149" spans="3:10">
      <c r="C149" s="312" t="s">
        <v>411</v>
      </c>
      <c r="D149" s="312"/>
      <c r="E149" s="312"/>
      <c r="F149" s="312"/>
      <c r="G149" s="312"/>
      <c r="H149" s="312"/>
      <c r="I149" s="332" t="s">
        <v>14</v>
      </c>
      <c r="J149" s="332" t="s">
        <v>14</v>
      </c>
    </row>
    <row r="150" spans="3:10">
      <c r="C150" s="312" t="s">
        <v>412</v>
      </c>
      <c r="D150" s="312"/>
      <c r="E150" s="312"/>
      <c r="F150" s="312"/>
      <c r="G150" s="312"/>
      <c r="H150" s="312"/>
      <c r="I150" s="332" t="s">
        <v>14</v>
      </c>
      <c r="J150" s="332" t="s">
        <v>14</v>
      </c>
    </row>
    <row r="151" spans="3:10">
      <c r="C151" s="312" t="s">
        <v>413</v>
      </c>
      <c r="D151" s="312"/>
      <c r="E151" s="312"/>
      <c r="F151" s="312"/>
      <c r="G151" s="312"/>
      <c r="H151" s="312"/>
      <c r="I151" s="332" t="s">
        <v>14</v>
      </c>
      <c r="J151" s="332" t="s">
        <v>14</v>
      </c>
    </row>
    <row r="152" spans="3:10">
      <c r="C152" s="312" t="s">
        <v>414</v>
      </c>
      <c r="D152" s="312"/>
      <c r="E152" s="312"/>
      <c r="F152" s="312"/>
      <c r="G152" s="312"/>
      <c r="H152" s="312"/>
      <c r="I152" s="332" t="s">
        <v>14</v>
      </c>
      <c r="J152" s="332" t="s">
        <v>14</v>
      </c>
    </row>
    <row r="153" spans="3:10">
      <c r="C153" s="312" t="s">
        <v>415</v>
      </c>
      <c r="D153" s="312"/>
      <c r="E153" s="312"/>
      <c r="F153" s="312"/>
      <c r="G153" s="312"/>
      <c r="H153" s="312"/>
      <c r="I153" s="332" t="s">
        <v>14</v>
      </c>
      <c r="J153" s="332" t="s">
        <v>14</v>
      </c>
    </row>
    <row r="154" spans="3:10">
      <c r="C154" s="2" t="s">
        <v>416</v>
      </c>
      <c r="D154" s="2"/>
      <c r="E154" s="2"/>
      <c r="F154" s="312"/>
      <c r="G154" s="312"/>
      <c r="H154" s="312"/>
      <c r="I154" s="332" t="s">
        <v>14</v>
      </c>
      <c r="J154" s="332" t="s">
        <v>14</v>
      </c>
    </row>
    <row r="155" spans="3:10">
      <c r="C155" s="312" t="s">
        <v>417</v>
      </c>
      <c r="D155" s="312"/>
      <c r="E155" s="312"/>
      <c r="F155" s="312"/>
      <c r="G155" s="312"/>
      <c r="H155" s="312"/>
      <c r="I155" s="332" t="s">
        <v>14</v>
      </c>
      <c r="J155" s="332" t="s">
        <v>14</v>
      </c>
    </row>
    <row r="156" spans="3:10">
      <c r="C156" s="312" t="s">
        <v>418</v>
      </c>
      <c r="D156" s="312"/>
      <c r="E156" s="312"/>
      <c r="F156" s="312"/>
      <c r="G156" s="312"/>
      <c r="H156" s="312"/>
      <c r="I156" s="332" t="s">
        <v>14</v>
      </c>
      <c r="J156" s="332" t="s">
        <v>14</v>
      </c>
    </row>
    <row r="157" spans="3:10">
      <c r="C157" s="315" t="s">
        <v>419</v>
      </c>
      <c r="D157" s="315"/>
      <c r="E157" s="315"/>
      <c r="F157" s="315"/>
      <c r="G157" s="315"/>
      <c r="H157" s="315"/>
      <c r="I157" s="332" t="s">
        <v>14</v>
      </c>
      <c r="J157" s="332" t="s">
        <v>14</v>
      </c>
    </row>
    <row r="158" spans="3:10">
      <c r="C158" s="315" t="s">
        <v>420</v>
      </c>
      <c r="D158" s="315"/>
      <c r="E158" s="315"/>
      <c r="F158" s="315"/>
      <c r="G158" s="315"/>
      <c r="H158" s="315"/>
      <c r="I158" s="332" t="s">
        <v>14</v>
      </c>
      <c r="J158" s="332" t="s">
        <v>14</v>
      </c>
    </row>
    <row r="159" spans="3:10">
      <c r="C159" s="315" t="s">
        <v>421</v>
      </c>
      <c r="D159" s="315"/>
      <c r="E159" s="315"/>
      <c r="F159" s="315"/>
      <c r="G159" s="315"/>
      <c r="H159" s="315"/>
      <c r="I159" s="332" t="s">
        <v>14</v>
      </c>
      <c r="J159" s="332" t="s">
        <v>14</v>
      </c>
    </row>
    <row r="160" spans="3:10">
      <c r="C160" s="312" t="s">
        <v>422</v>
      </c>
      <c r="D160" s="312"/>
      <c r="E160" s="312"/>
      <c r="F160" s="312"/>
      <c r="G160" s="312"/>
      <c r="H160" s="312"/>
      <c r="I160" s="332" t="s">
        <v>14</v>
      </c>
      <c r="J160" s="332" t="s">
        <v>14</v>
      </c>
    </row>
    <row r="161" spans="3:10">
      <c r="C161" s="312" t="s">
        <v>423</v>
      </c>
      <c r="D161" s="312"/>
      <c r="E161" s="312"/>
      <c r="F161" s="312"/>
      <c r="G161" s="312"/>
      <c r="H161" s="312"/>
      <c r="I161" s="332" t="s">
        <v>14</v>
      </c>
      <c r="J161" s="332" t="s">
        <v>14</v>
      </c>
    </row>
    <row r="162" spans="3:10">
      <c r="C162" s="2" t="s">
        <v>424</v>
      </c>
      <c r="D162" s="2"/>
      <c r="E162" s="2"/>
      <c r="F162" s="312"/>
      <c r="G162" s="312"/>
      <c r="H162" s="312"/>
      <c r="I162" s="332" t="s">
        <v>14</v>
      </c>
      <c r="J162" s="332" t="s">
        <v>14</v>
      </c>
    </row>
    <row r="163" spans="3:10">
      <c r="C163" s="312" t="s">
        <v>425</v>
      </c>
      <c r="D163" s="312"/>
      <c r="E163" s="312"/>
      <c r="F163" s="312"/>
      <c r="G163" s="312"/>
      <c r="H163" s="312"/>
      <c r="I163" s="332" t="s">
        <v>14</v>
      </c>
      <c r="J163" s="332" t="s">
        <v>14</v>
      </c>
    </row>
    <row r="164" spans="3:10">
      <c r="C164" s="312" t="s">
        <v>426</v>
      </c>
      <c r="D164" s="312"/>
      <c r="E164" s="312"/>
      <c r="F164" s="312"/>
      <c r="G164" s="312"/>
      <c r="H164" s="312"/>
      <c r="I164" s="332" t="s">
        <v>14</v>
      </c>
      <c r="J164" s="332" t="s">
        <v>14</v>
      </c>
    </row>
    <row r="165" spans="3:10">
      <c r="C165" s="315" t="s">
        <v>427</v>
      </c>
      <c r="D165" s="315"/>
      <c r="E165" s="315"/>
      <c r="F165" s="315"/>
      <c r="G165" s="315"/>
      <c r="H165" s="315"/>
      <c r="I165" s="332" t="s">
        <v>14</v>
      </c>
      <c r="J165" s="332" t="s">
        <v>14</v>
      </c>
    </row>
    <row r="166" spans="3:10">
      <c r="C166" s="315" t="s">
        <v>428</v>
      </c>
      <c r="D166" s="315"/>
      <c r="E166" s="315"/>
      <c r="F166" s="315"/>
      <c r="G166" s="315"/>
      <c r="H166" s="315"/>
      <c r="I166" s="332" t="s">
        <v>14</v>
      </c>
      <c r="J166" s="332" t="s">
        <v>14</v>
      </c>
    </row>
    <row r="167" spans="3:10">
      <c r="C167" s="312" t="s">
        <v>429</v>
      </c>
      <c r="D167" s="312"/>
      <c r="E167" s="312"/>
      <c r="F167" s="312"/>
      <c r="G167" s="312"/>
      <c r="H167" s="312"/>
      <c r="I167" s="332" t="s">
        <v>14</v>
      </c>
      <c r="J167" s="332" t="s">
        <v>14</v>
      </c>
    </row>
    <row r="168" spans="3:10">
      <c r="C168" s="315" t="s">
        <v>427</v>
      </c>
      <c r="D168" s="315"/>
      <c r="E168" s="315"/>
      <c r="F168" s="315"/>
      <c r="G168" s="315"/>
      <c r="H168" s="315"/>
      <c r="I168" s="332" t="s">
        <v>14</v>
      </c>
      <c r="J168" s="332" t="s">
        <v>14</v>
      </c>
    </row>
    <row r="169" spans="3:10">
      <c r="C169" s="315" t="s">
        <v>428</v>
      </c>
      <c r="D169" s="315"/>
      <c r="E169" s="315"/>
      <c r="F169" s="315"/>
      <c r="G169" s="315"/>
      <c r="H169" s="315"/>
      <c r="I169" s="332" t="s">
        <v>14</v>
      </c>
      <c r="J169" s="332" t="s">
        <v>14</v>
      </c>
    </row>
    <row r="170" spans="3:10">
      <c r="C170" s="312" t="s">
        <v>430</v>
      </c>
      <c r="D170" s="312"/>
      <c r="E170" s="312"/>
      <c r="F170" s="312"/>
      <c r="G170" s="312"/>
      <c r="H170" s="312"/>
      <c r="I170" s="332" t="s">
        <v>14</v>
      </c>
      <c r="J170" s="332" t="s">
        <v>14</v>
      </c>
    </row>
    <row r="171" spans="3:10">
      <c r="C171" s="315" t="s">
        <v>427</v>
      </c>
      <c r="D171" s="315"/>
      <c r="E171" s="315"/>
      <c r="F171" s="315"/>
      <c r="G171" s="315"/>
      <c r="H171" s="315"/>
      <c r="I171" s="332" t="s">
        <v>14</v>
      </c>
      <c r="J171" s="332" t="s">
        <v>14</v>
      </c>
    </row>
    <row r="172" spans="3:10">
      <c r="C172" s="315" t="s">
        <v>428</v>
      </c>
      <c r="D172" s="315"/>
      <c r="E172" s="315"/>
      <c r="F172" s="315"/>
      <c r="G172" s="315"/>
      <c r="H172" s="315"/>
      <c r="I172" s="332" t="s">
        <v>14</v>
      </c>
      <c r="J172" s="332" t="s">
        <v>14</v>
      </c>
    </row>
    <row r="173" spans="3:10">
      <c r="C173" s="312" t="s">
        <v>431</v>
      </c>
      <c r="D173" s="312"/>
      <c r="E173" s="312"/>
      <c r="F173" s="312"/>
      <c r="G173" s="312"/>
      <c r="H173" s="312"/>
      <c r="I173" s="332" t="s">
        <v>14</v>
      </c>
      <c r="J173" s="332" t="s">
        <v>14</v>
      </c>
    </row>
    <row r="174" spans="3:10">
      <c r="C174" s="315" t="s">
        <v>432</v>
      </c>
      <c r="D174" s="315"/>
      <c r="E174" s="315"/>
      <c r="F174" s="315"/>
      <c r="G174" s="315"/>
      <c r="H174" s="315"/>
      <c r="I174" s="332" t="s">
        <v>14</v>
      </c>
      <c r="J174" s="332" t="s">
        <v>14</v>
      </c>
    </row>
    <row r="175" spans="3:10">
      <c r="C175" s="315" t="s">
        <v>433</v>
      </c>
      <c r="D175" s="315"/>
      <c r="E175" s="315"/>
      <c r="F175" s="315"/>
      <c r="G175" s="315"/>
      <c r="H175" s="315"/>
      <c r="I175" s="332" t="s">
        <v>14</v>
      </c>
      <c r="J175" s="332" t="s">
        <v>14</v>
      </c>
    </row>
    <row r="176" spans="3:10">
      <c r="C176" s="315" t="s">
        <v>434</v>
      </c>
      <c r="D176" s="315"/>
      <c r="E176" s="315"/>
      <c r="F176" s="315"/>
      <c r="G176" s="315"/>
      <c r="H176" s="315"/>
      <c r="I176" s="332" t="s">
        <v>14</v>
      </c>
      <c r="J176" s="332" t="s">
        <v>14</v>
      </c>
    </row>
    <row r="177" spans="3:10">
      <c r="C177" s="315" t="s">
        <v>435</v>
      </c>
      <c r="D177" s="315"/>
      <c r="E177" s="315"/>
      <c r="F177" s="315"/>
      <c r="G177" s="315"/>
      <c r="H177" s="315"/>
      <c r="I177" s="332" t="s">
        <v>14</v>
      </c>
      <c r="J177" s="332" t="s">
        <v>14</v>
      </c>
    </row>
    <row r="178" spans="3:10">
      <c r="C178" s="310" t="s">
        <v>422</v>
      </c>
      <c r="D178" s="310"/>
      <c r="E178" s="310"/>
      <c r="F178" s="312"/>
      <c r="G178" s="312"/>
      <c r="H178" s="312"/>
      <c r="I178" s="332" t="s">
        <v>14</v>
      </c>
      <c r="J178" s="332" t="s">
        <v>14</v>
      </c>
    </row>
    <row r="179" spans="3:10">
      <c r="C179" s="312" t="s">
        <v>436</v>
      </c>
      <c r="D179" s="312"/>
      <c r="E179" s="312"/>
      <c r="F179" s="312"/>
      <c r="G179" s="312"/>
      <c r="H179" s="312"/>
      <c r="I179" s="332" t="s">
        <v>14</v>
      </c>
      <c r="J179" s="332" t="s">
        <v>14</v>
      </c>
    </row>
    <row r="180" spans="3:10">
      <c r="C180" s="312" t="s">
        <v>437</v>
      </c>
      <c r="D180" s="312"/>
      <c r="E180" s="312"/>
      <c r="F180" s="312"/>
      <c r="G180" s="312"/>
      <c r="H180" s="312"/>
      <c r="I180" s="332" t="s">
        <v>14</v>
      </c>
      <c r="J180" s="332" t="s">
        <v>14</v>
      </c>
    </row>
    <row r="181" spans="3:10">
      <c r="C181" s="312" t="s">
        <v>438</v>
      </c>
      <c r="D181" s="312"/>
      <c r="E181" s="312"/>
      <c r="F181" s="312"/>
      <c r="G181" s="312"/>
      <c r="H181" s="312"/>
      <c r="I181" s="332" t="s">
        <v>14</v>
      </c>
      <c r="J181" s="332" t="s">
        <v>14</v>
      </c>
    </row>
    <row r="182" spans="3:10">
      <c r="C182" s="312" t="s">
        <v>439</v>
      </c>
      <c r="D182" s="312"/>
      <c r="E182" s="312"/>
      <c r="F182" s="312"/>
      <c r="G182" s="312"/>
      <c r="H182" s="312"/>
      <c r="I182" s="332" t="s">
        <v>14</v>
      </c>
      <c r="J182" s="332" t="s">
        <v>14</v>
      </c>
    </row>
    <row r="183" spans="3:10">
      <c r="C183" s="310" t="s">
        <v>440</v>
      </c>
      <c r="D183" s="310"/>
      <c r="E183" s="310"/>
      <c r="F183" s="312"/>
      <c r="G183" s="312"/>
      <c r="H183" s="312"/>
      <c r="I183" s="332" t="s">
        <v>14</v>
      </c>
      <c r="J183" s="332" t="s">
        <v>14</v>
      </c>
    </row>
    <row r="184" spans="3:10">
      <c r="C184" s="310" t="s">
        <v>441</v>
      </c>
      <c r="D184" s="310"/>
      <c r="E184" s="310"/>
      <c r="F184" s="312"/>
      <c r="G184" s="312"/>
      <c r="H184" s="312"/>
      <c r="I184" s="332" t="s">
        <v>14</v>
      </c>
      <c r="J184" s="332" t="s">
        <v>14</v>
      </c>
    </row>
    <row r="185" spans="3:10">
      <c r="C185" s="310" t="s">
        <v>442</v>
      </c>
      <c r="D185" s="310"/>
      <c r="E185" s="310"/>
      <c r="F185" s="312"/>
      <c r="G185" s="312"/>
      <c r="H185" s="312"/>
      <c r="I185" s="332" t="s">
        <v>14</v>
      </c>
      <c r="J185" s="332" t="s">
        <v>14</v>
      </c>
    </row>
    <row r="186" spans="3:10">
      <c r="C186" s="310" t="s">
        <v>443</v>
      </c>
      <c r="D186" s="310"/>
      <c r="E186" s="310"/>
      <c r="F186" s="312"/>
      <c r="G186" s="312"/>
      <c r="H186" s="312"/>
      <c r="I186" s="332" t="s">
        <v>14</v>
      </c>
      <c r="J186" s="332" t="s">
        <v>14</v>
      </c>
    </row>
    <row r="187" spans="3:10">
      <c r="C187" s="310" t="s">
        <v>444</v>
      </c>
      <c r="D187" s="310"/>
      <c r="E187" s="310"/>
      <c r="F187" s="312"/>
      <c r="G187" s="312"/>
      <c r="H187" s="312"/>
      <c r="I187" s="332" t="s">
        <v>14</v>
      </c>
      <c r="J187" s="332" t="s">
        <v>14</v>
      </c>
    </row>
    <row r="188" spans="3:10">
      <c r="C188" s="312" t="s">
        <v>445</v>
      </c>
      <c r="D188" s="312"/>
      <c r="E188" s="312"/>
      <c r="F188" s="312"/>
      <c r="G188" s="312"/>
      <c r="H188" s="312"/>
      <c r="I188" s="332" t="s">
        <v>14</v>
      </c>
      <c r="J188" s="332" t="s">
        <v>14</v>
      </c>
    </row>
    <row r="189" spans="3:10">
      <c r="C189" s="315" t="s">
        <v>446</v>
      </c>
      <c r="D189" s="315"/>
      <c r="E189" s="315"/>
      <c r="F189" s="315"/>
      <c r="G189" s="315"/>
      <c r="H189" s="315"/>
      <c r="I189" s="332" t="s">
        <v>14</v>
      </c>
      <c r="J189" s="332" t="s">
        <v>14</v>
      </c>
    </row>
    <row r="190" spans="3:10">
      <c r="C190" s="315" t="s">
        <v>447</v>
      </c>
      <c r="D190" s="315"/>
      <c r="E190" s="315"/>
      <c r="F190" s="315"/>
      <c r="G190" s="315"/>
      <c r="H190" s="315"/>
      <c r="I190" s="332" t="s">
        <v>14</v>
      </c>
      <c r="J190" s="332" t="s">
        <v>14</v>
      </c>
    </row>
    <row r="191" spans="3:10">
      <c r="C191" s="315" t="s">
        <v>448</v>
      </c>
      <c r="D191" s="315"/>
      <c r="E191" s="315"/>
      <c r="F191" s="315"/>
      <c r="G191" s="315"/>
      <c r="H191" s="315"/>
      <c r="I191" s="332" t="s">
        <v>14</v>
      </c>
      <c r="J191" s="332" t="s">
        <v>14</v>
      </c>
    </row>
    <row r="192" spans="3:10">
      <c r="C192" s="312" t="s">
        <v>449</v>
      </c>
      <c r="D192" s="312"/>
      <c r="E192" s="312"/>
      <c r="F192" s="312"/>
      <c r="G192" s="312"/>
      <c r="H192" s="312"/>
      <c r="I192" s="332" t="s">
        <v>14</v>
      </c>
      <c r="J192" s="332" t="s">
        <v>14</v>
      </c>
    </row>
    <row r="193" spans="2:10">
      <c r="C193" s="312" t="s">
        <v>450</v>
      </c>
      <c r="D193" s="312"/>
      <c r="E193" s="312"/>
      <c r="F193" s="312"/>
      <c r="G193" s="312"/>
      <c r="H193" s="312"/>
      <c r="I193" s="332" t="s">
        <v>14</v>
      </c>
      <c r="J193" s="332" t="s">
        <v>14</v>
      </c>
    </row>
    <row r="194" spans="2:10">
      <c r="C194" s="315" t="s">
        <v>451</v>
      </c>
      <c r="D194" s="315"/>
      <c r="E194" s="315"/>
      <c r="F194" s="315"/>
      <c r="G194" s="315"/>
      <c r="H194" s="315"/>
      <c r="I194" s="332" t="s">
        <v>14</v>
      </c>
      <c r="J194" s="332" t="s">
        <v>14</v>
      </c>
    </row>
    <row r="195" spans="2:10">
      <c r="C195" s="315" t="s">
        <v>452</v>
      </c>
      <c r="D195" s="315"/>
      <c r="E195" s="315"/>
      <c r="F195" s="315"/>
      <c r="G195" s="315"/>
      <c r="H195" s="315"/>
      <c r="I195" s="332" t="s">
        <v>14</v>
      </c>
      <c r="J195" s="332" t="s">
        <v>14</v>
      </c>
    </row>
    <row r="196" spans="2:10">
      <c r="C196" s="350" t="s">
        <v>529</v>
      </c>
      <c r="D196" s="2"/>
      <c r="E196" s="2"/>
      <c r="F196" s="312"/>
      <c r="G196" s="312"/>
      <c r="H196" s="312"/>
      <c r="I196" s="364" t="s">
        <v>14</v>
      </c>
      <c r="J196" s="364" t="s">
        <v>14</v>
      </c>
    </row>
    <row r="197" spans="2:10">
      <c r="C197" s="2"/>
      <c r="D197" s="2"/>
      <c r="E197" s="2"/>
      <c r="F197" s="312"/>
      <c r="G197" s="312"/>
      <c r="H197" s="312"/>
      <c r="I197" s="331"/>
      <c r="J197" s="331"/>
    </row>
    <row r="198" spans="2:10">
      <c r="B198" s="12" t="s">
        <v>518</v>
      </c>
      <c r="C198" s="2"/>
      <c r="D198" s="2"/>
      <c r="E198" s="2"/>
      <c r="F198" s="312"/>
      <c r="G198" s="312"/>
      <c r="H198" s="312"/>
      <c r="I198" s="332" t="s">
        <v>14</v>
      </c>
      <c r="J198" s="332" t="s">
        <v>14</v>
      </c>
    </row>
    <row r="199" spans="2:10">
      <c r="B199" s="301"/>
      <c r="C199" s="2"/>
      <c r="D199" s="2"/>
      <c r="E199" s="2"/>
      <c r="F199" s="312"/>
      <c r="G199" s="312"/>
      <c r="H199" s="312"/>
      <c r="I199" s="331"/>
      <c r="J199" s="331"/>
    </row>
    <row r="200" spans="2:10">
      <c r="B200" s="308" t="s">
        <v>453</v>
      </c>
      <c r="C200" s="308"/>
      <c r="D200" s="308"/>
      <c r="E200" s="308"/>
      <c r="F200" s="313"/>
      <c r="G200" s="313"/>
      <c r="H200" s="313"/>
      <c r="I200" s="364" t="s">
        <v>14</v>
      </c>
      <c r="J200" s="364" t="s">
        <v>14</v>
      </c>
    </row>
    <row r="201" spans="2:10">
      <c r="C201" s="12" t="s">
        <v>454</v>
      </c>
      <c r="D201" s="12"/>
      <c r="E201" s="12"/>
      <c r="F201" s="313"/>
      <c r="G201" s="313"/>
      <c r="H201" s="313"/>
      <c r="I201" s="332" t="s">
        <v>14</v>
      </c>
      <c r="J201" s="332" t="s">
        <v>14</v>
      </c>
    </row>
    <row r="202" spans="2:10">
      <c r="C202" s="2"/>
      <c r="D202" s="2"/>
      <c r="E202" s="2"/>
      <c r="F202" s="312"/>
      <c r="G202" s="312"/>
      <c r="H202" s="312"/>
      <c r="I202" s="331"/>
      <c r="J202" s="331"/>
    </row>
    <row r="203" spans="2:10">
      <c r="B203" s="12" t="s">
        <v>455</v>
      </c>
      <c r="C203" s="2"/>
      <c r="D203" s="2"/>
      <c r="E203" s="2"/>
      <c r="F203" s="312"/>
      <c r="G203" s="312"/>
      <c r="H203" s="312"/>
      <c r="I203" s="332" t="s">
        <v>14</v>
      </c>
      <c r="J203" s="332" t="s">
        <v>14</v>
      </c>
    </row>
    <row r="204" spans="2:10">
      <c r="B204" s="2"/>
      <c r="C204" s="2"/>
      <c r="D204" s="2"/>
      <c r="E204" s="2"/>
      <c r="F204" s="312"/>
      <c r="G204" s="312"/>
      <c r="H204" s="312"/>
      <c r="I204" s="331"/>
      <c r="J204" s="331"/>
    </row>
    <row r="205" spans="2:10">
      <c r="B205" s="308" t="s">
        <v>456</v>
      </c>
      <c r="C205" s="2"/>
      <c r="D205" s="2"/>
      <c r="E205" s="2"/>
      <c r="F205" s="312"/>
      <c r="G205" s="312"/>
      <c r="H205" s="312"/>
      <c r="I205" s="331"/>
      <c r="J205" s="331"/>
    </row>
    <row r="206" spans="2:10">
      <c r="C206" s="2" t="s">
        <v>457</v>
      </c>
      <c r="D206" s="2"/>
      <c r="E206" s="2"/>
      <c r="F206" s="312"/>
      <c r="G206" s="312"/>
      <c r="H206" s="312"/>
      <c r="I206" s="332" t="s">
        <v>14</v>
      </c>
      <c r="J206" s="332" t="s">
        <v>14</v>
      </c>
    </row>
    <row r="207" spans="2:10">
      <c r="C207" s="2" t="s">
        <v>458</v>
      </c>
      <c r="D207" s="2"/>
      <c r="E207" s="2"/>
      <c r="F207" s="312"/>
      <c r="G207" s="312"/>
      <c r="H207" s="312"/>
      <c r="I207" s="332" t="s">
        <v>14</v>
      </c>
      <c r="J207" s="332" t="s">
        <v>14</v>
      </c>
    </row>
    <row r="208" spans="2:10">
      <c r="C208" s="312" t="s">
        <v>459</v>
      </c>
      <c r="D208" s="312"/>
      <c r="E208" s="312"/>
      <c r="F208" s="312"/>
      <c r="G208" s="312"/>
      <c r="H208" s="312"/>
      <c r="I208" s="332" t="s">
        <v>14</v>
      </c>
      <c r="J208" s="332" t="s">
        <v>14</v>
      </c>
    </row>
    <row r="209" spans="2:10">
      <c r="C209" s="312" t="s">
        <v>460</v>
      </c>
      <c r="D209" s="312"/>
      <c r="E209" s="312"/>
      <c r="F209" s="312"/>
      <c r="G209" s="312"/>
      <c r="H209" s="312"/>
      <c r="I209" s="332" t="s">
        <v>14</v>
      </c>
      <c r="J209" s="332" t="s">
        <v>14</v>
      </c>
    </row>
    <row r="210" spans="2:10">
      <c r="C210" s="312" t="s">
        <v>461</v>
      </c>
      <c r="D210" s="312"/>
      <c r="E210" s="312"/>
      <c r="F210" s="312"/>
      <c r="G210" s="312"/>
      <c r="H210" s="312"/>
      <c r="I210" s="332" t="s">
        <v>14</v>
      </c>
      <c r="J210" s="332" t="s">
        <v>14</v>
      </c>
    </row>
    <row r="211" spans="2:10">
      <c r="C211" s="315" t="s">
        <v>462</v>
      </c>
      <c r="D211" s="315"/>
      <c r="E211" s="315"/>
      <c r="F211" s="315"/>
      <c r="G211" s="315"/>
      <c r="H211" s="315"/>
      <c r="I211" s="332" t="s">
        <v>14</v>
      </c>
      <c r="J211" s="332" t="s">
        <v>14</v>
      </c>
    </row>
    <row r="212" spans="2:10">
      <c r="C212" s="315" t="s">
        <v>463</v>
      </c>
      <c r="D212" s="315"/>
      <c r="E212" s="315"/>
      <c r="F212" s="315"/>
      <c r="G212" s="315"/>
      <c r="H212" s="315"/>
      <c r="I212" s="332" t="s">
        <v>14</v>
      </c>
      <c r="J212" s="332" t="s">
        <v>14</v>
      </c>
    </row>
    <row r="213" spans="2:10">
      <c r="C213" s="315" t="s">
        <v>464</v>
      </c>
      <c r="D213" s="315"/>
      <c r="E213" s="315"/>
      <c r="F213" s="315"/>
      <c r="G213" s="315"/>
      <c r="H213" s="315"/>
      <c r="I213" s="332" t="s">
        <v>14</v>
      </c>
      <c r="J213" s="332" t="s">
        <v>14</v>
      </c>
    </row>
    <row r="214" spans="2:10">
      <c r="C214" s="315" t="s">
        <v>465</v>
      </c>
      <c r="D214" s="315"/>
      <c r="E214" s="315"/>
      <c r="F214" s="315"/>
      <c r="G214" s="315"/>
      <c r="H214" s="315"/>
      <c r="I214" s="332" t="s">
        <v>14</v>
      </c>
      <c r="J214" s="332" t="s">
        <v>14</v>
      </c>
    </row>
    <row r="215" spans="2:10">
      <c r="C215" s="315" t="s">
        <v>390</v>
      </c>
      <c r="D215" s="315"/>
      <c r="E215" s="315"/>
      <c r="F215" s="315"/>
      <c r="G215" s="315"/>
      <c r="H215" s="315"/>
      <c r="I215" s="332" t="s">
        <v>14</v>
      </c>
      <c r="J215" s="332" t="s">
        <v>14</v>
      </c>
    </row>
    <row r="216" spans="2:10">
      <c r="B216" s="312" t="s">
        <v>513</v>
      </c>
      <c r="C216" s="312" t="s">
        <v>466</v>
      </c>
      <c r="D216" s="312"/>
      <c r="E216" s="312"/>
      <c r="F216" s="312"/>
      <c r="G216" s="312"/>
      <c r="H216" s="312"/>
      <c r="I216" s="332" t="s">
        <v>14</v>
      </c>
      <c r="J216" s="332" t="s">
        <v>14</v>
      </c>
    </row>
    <row r="217" spans="2:10">
      <c r="C217" s="2" t="s">
        <v>345</v>
      </c>
      <c r="D217" s="2"/>
      <c r="E217" s="2"/>
      <c r="F217" s="312"/>
      <c r="G217" s="312"/>
      <c r="H217" s="312"/>
      <c r="I217" s="331"/>
      <c r="J217" s="331"/>
    </row>
    <row r="218" spans="2:10">
      <c r="C218" s="312" t="s">
        <v>467</v>
      </c>
      <c r="D218" s="312"/>
      <c r="E218" s="312"/>
      <c r="F218" s="312"/>
      <c r="G218" s="312"/>
      <c r="H218" s="312"/>
      <c r="I218" s="332" t="s">
        <v>14</v>
      </c>
      <c r="J218" s="332" t="s">
        <v>14</v>
      </c>
    </row>
    <row r="219" spans="2:10">
      <c r="C219" s="312" t="s">
        <v>468</v>
      </c>
      <c r="D219" s="312"/>
      <c r="E219" s="312"/>
      <c r="F219" s="312"/>
      <c r="G219" s="312"/>
      <c r="H219" s="312"/>
      <c r="I219" s="332" t="s">
        <v>14</v>
      </c>
      <c r="J219" s="332" t="s">
        <v>14</v>
      </c>
    </row>
    <row r="220" spans="2:10">
      <c r="C220" s="312" t="s">
        <v>469</v>
      </c>
      <c r="D220" s="312"/>
      <c r="E220" s="312"/>
      <c r="F220" s="312"/>
      <c r="G220" s="312"/>
      <c r="H220" s="312"/>
      <c r="I220" s="332" t="s">
        <v>14</v>
      </c>
      <c r="J220" s="332" t="s">
        <v>14</v>
      </c>
    </row>
    <row r="221" spans="2:10">
      <c r="C221" s="312" t="s">
        <v>470</v>
      </c>
      <c r="D221" s="312"/>
      <c r="E221" s="312"/>
      <c r="F221" s="312"/>
      <c r="G221" s="312"/>
      <c r="H221" s="312"/>
      <c r="I221" s="332" t="s">
        <v>14</v>
      </c>
      <c r="J221" s="332" t="s">
        <v>14</v>
      </c>
    </row>
    <row r="222" spans="2:10">
      <c r="C222" s="312" t="s">
        <v>116</v>
      </c>
      <c r="D222" s="312"/>
      <c r="E222" s="312"/>
      <c r="F222" s="312"/>
      <c r="G222" s="312"/>
      <c r="H222" s="312"/>
      <c r="I222" s="332" t="s">
        <v>14</v>
      </c>
      <c r="J222" s="332" t="s">
        <v>14</v>
      </c>
    </row>
    <row r="223" spans="2:10">
      <c r="C223" s="301"/>
      <c r="D223" s="301"/>
      <c r="E223" s="301"/>
      <c r="F223" s="312"/>
      <c r="G223" s="312"/>
      <c r="H223" s="312"/>
      <c r="I223" s="331"/>
      <c r="J223" s="331"/>
    </row>
    <row r="224" spans="2:10">
      <c r="B224" s="308" t="s">
        <v>471</v>
      </c>
      <c r="C224" s="2"/>
      <c r="D224" s="2"/>
      <c r="E224" s="2"/>
      <c r="F224" s="312"/>
      <c r="G224" s="312"/>
      <c r="H224" s="312"/>
      <c r="I224" s="331"/>
      <c r="J224" s="331"/>
    </row>
    <row r="225" spans="2:10">
      <c r="C225" s="308" t="s">
        <v>472</v>
      </c>
      <c r="D225" s="2"/>
      <c r="E225" s="2"/>
      <c r="F225" s="312"/>
      <c r="G225" s="312"/>
      <c r="H225" s="312"/>
      <c r="I225" s="364">
        <f>Detail!P47</f>
        <v>41609</v>
      </c>
      <c r="J225" s="364" t="s">
        <v>14</v>
      </c>
    </row>
    <row r="226" spans="2:10">
      <c r="C226" s="2"/>
      <c r="D226" s="2"/>
      <c r="E226" s="2"/>
      <c r="F226" s="312"/>
      <c r="G226" s="312"/>
      <c r="H226" s="312"/>
      <c r="I226" s="336"/>
      <c r="J226" s="336"/>
    </row>
    <row r="227" spans="2:10">
      <c r="B227" s="308" t="s">
        <v>473</v>
      </c>
      <c r="C227" s="2"/>
      <c r="D227" s="2"/>
      <c r="E227" s="2"/>
      <c r="F227" s="312"/>
      <c r="G227" s="312"/>
      <c r="H227" s="312"/>
      <c r="I227" s="336"/>
      <c r="J227" s="336"/>
    </row>
    <row r="228" spans="2:10">
      <c r="C228" s="2" t="s">
        <v>474</v>
      </c>
      <c r="D228" s="2"/>
      <c r="E228" s="2"/>
      <c r="F228" s="312"/>
      <c r="G228" s="312"/>
      <c r="H228" s="312"/>
      <c r="I228" s="337"/>
      <c r="J228" s="337"/>
    </row>
    <row r="229" spans="2:10">
      <c r="C229" s="312" t="s">
        <v>475</v>
      </c>
      <c r="D229" s="312"/>
      <c r="E229" s="312"/>
      <c r="F229" s="312"/>
      <c r="G229" s="312"/>
      <c r="H229" s="312"/>
      <c r="I229" s="332" t="s">
        <v>14</v>
      </c>
      <c r="J229" s="332" t="s">
        <v>14</v>
      </c>
    </row>
    <row r="230" spans="2:10">
      <c r="C230" s="312" t="s">
        <v>476</v>
      </c>
      <c r="D230" s="312"/>
      <c r="E230" s="312"/>
      <c r="F230" s="312"/>
      <c r="G230" s="312"/>
      <c r="H230" s="312"/>
      <c r="I230" s="332" t="s">
        <v>14</v>
      </c>
      <c r="J230" s="332" t="s">
        <v>14</v>
      </c>
    </row>
    <row r="231" spans="2:10">
      <c r="C231" s="312" t="s">
        <v>477</v>
      </c>
      <c r="D231" s="312"/>
      <c r="E231" s="312"/>
      <c r="F231" s="312"/>
      <c r="G231" s="312"/>
      <c r="H231" s="312"/>
      <c r="I231" s="332" t="s">
        <v>14</v>
      </c>
      <c r="J231" s="332" t="s">
        <v>14</v>
      </c>
    </row>
    <row r="232" spans="2:10">
      <c r="C232" s="350" t="s">
        <v>530</v>
      </c>
      <c r="D232" s="312"/>
      <c r="E232" s="312"/>
      <c r="F232" s="312"/>
      <c r="G232" s="312"/>
      <c r="H232" s="312"/>
      <c r="I232" s="364" t="s">
        <v>14</v>
      </c>
      <c r="J232" s="364" t="s">
        <v>14</v>
      </c>
    </row>
    <row r="233" spans="2:10">
      <c r="C233" s="2"/>
      <c r="D233" s="2"/>
      <c r="E233" s="2"/>
      <c r="F233" s="312"/>
      <c r="G233" s="312"/>
      <c r="H233" s="312"/>
      <c r="I233" s="331"/>
      <c r="J233" s="331"/>
    </row>
    <row r="234" spans="2:10">
      <c r="B234" s="308" t="s">
        <v>478</v>
      </c>
      <c r="C234" s="2"/>
      <c r="D234" s="2"/>
      <c r="E234" s="2"/>
      <c r="F234" s="312"/>
      <c r="G234" s="312"/>
      <c r="H234" s="312"/>
      <c r="I234" s="331"/>
      <c r="J234" s="331"/>
    </row>
    <row r="235" spans="2:10">
      <c r="C235" s="308" t="s">
        <v>479</v>
      </c>
      <c r="D235" s="2"/>
      <c r="E235" s="2"/>
      <c r="F235" s="312"/>
      <c r="G235" s="312"/>
      <c r="H235" s="312"/>
      <c r="I235" s="364">
        <f>Detail!R47</f>
        <v>41609</v>
      </c>
      <c r="J235" s="364" t="s">
        <v>14</v>
      </c>
    </row>
    <row r="236" spans="2:10">
      <c r="C236" s="308" t="s">
        <v>480</v>
      </c>
      <c r="D236" s="2"/>
      <c r="E236" s="2"/>
      <c r="F236" s="312"/>
      <c r="G236" s="312"/>
      <c r="H236" s="312"/>
      <c r="I236" s="332" t="s">
        <v>14</v>
      </c>
      <c r="J236" s="332" t="s">
        <v>14</v>
      </c>
    </row>
    <row r="237" spans="2:10">
      <c r="C237" s="2" t="s">
        <v>481</v>
      </c>
      <c r="D237" s="2"/>
      <c r="E237" s="2"/>
      <c r="F237" s="312"/>
      <c r="G237" s="312"/>
      <c r="H237" s="312"/>
      <c r="I237" s="364" t="s">
        <v>14</v>
      </c>
      <c r="J237" s="364" t="s">
        <v>14</v>
      </c>
    </row>
    <row r="238" spans="2:10">
      <c r="C238" s="2" t="s">
        <v>482</v>
      </c>
      <c r="D238" s="2"/>
      <c r="E238" s="2"/>
      <c r="F238" s="312"/>
      <c r="G238" s="312"/>
      <c r="H238" s="312"/>
      <c r="I238" s="332" t="s">
        <v>14</v>
      </c>
      <c r="J238" s="332" t="s">
        <v>14</v>
      </c>
    </row>
    <row r="239" spans="2:10">
      <c r="C239" s="2" t="s">
        <v>483</v>
      </c>
      <c r="D239" s="2"/>
      <c r="E239" s="2"/>
      <c r="F239" s="312"/>
      <c r="G239" s="312"/>
      <c r="H239" s="312"/>
      <c r="I239" s="332" t="s">
        <v>14</v>
      </c>
      <c r="J239" s="332" t="s">
        <v>14</v>
      </c>
    </row>
    <row r="240" spans="2:10">
      <c r="C240" s="2" t="s">
        <v>484</v>
      </c>
      <c r="D240" s="2"/>
      <c r="E240" s="2"/>
      <c r="F240" s="312"/>
      <c r="G240" s="312"/>
      <c r="H240" s="312"/>
      <c r="I240" s="332" t="s">
        <v>14</v>
      </c>
      <c r="J240" s="332" t="s">
        <v>14</v>
      </c>
    </row>
    <row r="241" spans="2:10">
      <c r="C241" s="2" t="s">
        <v>485</v>
      </c>
      <c r="D241" s="2"/>
      <c r="E241" s="2"/>
      <c r="F241" s="312"/>
      <c r="G241" s="312"/>
      <c r="H241" s="312"/>
      <c r="I241" s="331"/>
      <c r="J241" s="331"/>
    </row>
    <row r="242" spans="2:10">
      <c r="C242" s="312" t="s">
        <v>486</v>
      </c>
      <c r="D242" s="312"/>
      <c r="E242" s="312"/>
      <c r="F242" s="312"/>
      <c r="G242" s="312"/>
      <c r="H242" s="312"/>
      <c r="I242" s="332" t="s">
        <v>14</v>
      </c>
      <c r="J242" s="332" t="s">
        <v>14</v>
      </c>
    </row>
    <row r="243" spans="2:10">
      <c r="C243" s="315" t="s">
        <v>487</v>
      </c>
      <c r="D243" s="315"/>
      <c r="E243" s="315"/>
      <c r="F243" s="315"/>
      <c r="G243" s="315"/>
      <c r="H243" s="315"/>
      <c r="I243" s="332" t="s">
        <v>14</v>
      </c>
      <c r="J243" s="332" t="s">
        <v>14</v>
      </c>
    </row>
    <row r="244" spans="2:10">
      <c r="C244" s="312" t="s">
        <v>486</v>
      </c>
      <c r="D244" s="312"/>
      <c r="E244" s="312"/>
      <c r="F244" s="312"/>
      <c r="G244" s="312"/>
      <c r="H244" s="312"/>
      <c r="I244" s="332" t="s">
        <v>14</v>
      </c>
      <c r="J244" s="332" t="s">
        <v>14</v>
      </c>
    </row>
    <row r="245" spans="2:10">
      <c r="C245" s="315" t="s">
        <v>488</v>
      </c>
      <c r="D245" s="315"/>
      <c r="E245" s="315"/>
      <c r="F245" s="315"/>
      <c r="G245" s="315"/>
      <c r="H245" s="315"/>
      <c r="I245" s="332" t="s">
        <v>14</v>
      </c>
      <c r="J245" s="332" t="s">
        <v>14</v>
      </c>
    </row>
    <row r="246" spans="2:10">
      <c r="C246" s="312" t="s">
        <v>486</v>
      </c>
      <c r="D246" s="312"/>
      <c r="E246" s="312"/>
      <c r="F246" s="312"/>
      <c r="G246" s="312"/>
      <c r="H246" s="312"/>
      <c r="I246" s="332" t="s">
        <v>14</v>
      </c>
      <c r="J246" s="332" t="s">
        <v>14</v>
      </c>
    </row>
    <row r="247" spans="2:10">
      <c r="C247" s="315" t="s">
        <v>488</v>
      </c>
      <c r="D247" s="315"/>
      <c r="E247" s="315"/>
      <c r="F247" s="315"/>
      <c r="G247" s="315"/>
      <c r="H247" s="315"/>
      <c r="I247" s="332" t="s">
        <v>14</v>
      </c>
      <c r="J247" s="332" t="s">
        <v>14</v>
      </c>
    </row>
    <row r="248" spans="2:10">
      <c r="C248" s="312" t="s">
        <v>486</v>
      </c>
      <c r="D248" s="312"/>
      <c r="E248" s="312"/>
      <c r="F248" s="312"/>
      <c r="G248" s="312"/>
      <c r="H248" s="312"/>
      <c r="I248" s="332" t="s">
        <v>14</v>
      </c>
      <c r="J248" s="332" t="s">
        <v>14</v>
      </c>
    </row>
    <row r="249" spans="2:10">
      <c r="C249" s="315" t="s">
        <v>488</v>
      </c>
      <c r="D249" s="315"/>
      <c r="E249" s="315"/>
      <c r="F249" s="315"/>
      <c r="G249" s="315"/>
      <c r="H249" s="315"/>
      <c r="I249" s="332" t="s">
        <v>14</v>
      </c>
      <c r="J249" s="332" t="s">
        <v>14</v>
      </c>
    </row>
    <row r="250" spans="2:10">
      <c r="C250" s="312" t="s">
        <v>486</v>
      </c>
      <c r="D250" s="312"/>
      <c r="E250" s="312"/>
      <c r="F250" s="312"/>
      <c r="G250" s="312"/>
      <c r="H250" s="312"/>
      <c r="I250" s="332" t="s">
        <v>14</v>
      </c>
      <c r="J250" s="332" t="s">
        <v>14</v>
      </c>
    </row>
    <row r="251" spans="2:10">
      <c r="C251" s="315" t="s">
        <v>488</v>
      </c>
      <c r="D251" s="315"/>
      <c r="E251" s="315"/>
      <c r="F251" s="315"/>
      <c r="G251" s="315"/>
      <c r="H251" s="315"/>
      <c r="I251" s="332" t="s">
        <v>14</v>
      </c>
      <c r="J251" s="332" t="s">
        <v>14</v>
      </c>
    </row>
    <row r="252" spans="2:10">
      <c r="C252" s="312" t="s">
        <v>486</v>
      </c>
      <c r="D252" s="312"/>
      <c r="E252" s="312"/>
      <c r="F252" s="312"/>
      <c r="G252" s="312"/>
      <c r="H252" s="312"/>
      <c r="I252" s="332" t="s">
        <v>14</v>
      </c>
      <c r="J252" s="332" t="s">
        <v>14</v>
      </c>
    </row>
    <row r="253" spans="2:10">
      <c r="B253" s="315" t="s">
        <v>489</v>
      </c>
      <c r="C253" s="315" t="s">
        <v>489</v>
      </c>
      <c r="D253" s="315"/>
      <c r="E253" s="315"/>
      <c r="F253" s="315"/>
      <c r="G253" s="315"/>
      <c r="H253" s="315"/>
      <c r="I253" s="332" t="s">
        <v>14</v>
      </c>
      <c r="J253" s="332" t="s">
        <v>14</v>
      </c>
    </row>
    <row r="254" spans="2:10">
      <c r="C254" s="308" t="s">
        <v>539</v>
      </c>
      <c r="D254" s="2"/>
      <c r="E254" s="2"/>
      <c r="F254" s="312"/>
      <c r="G254" s="312"/>
      <c r="H254" s="312"/>
      <c r="I254" s="364" t="s">
        <v>14</v>
      </c>
      <c r="J254" s="364" t="s">
        <v>14</v>
      </c>
    </row>
    <row r="255" spans="2:10">
      <c r="C255" s="308" t="s">
        <v>490</v>
      </c>
      <c r="D255" s="2"/>
      <c r="E255" s="2"/>
      <c r="F255" s="312"/>
      <c r="G255" s="312"/>
      <c r="H255" s="312"/>
      <c r="I255" s="364" t="s">
        <v>14</v>
      </c>
      <c r="J255" s="364" t="s">
        <v>14</v>
      </c>
    </row>
    <row r="256" spans="2:10">
      <c r="C256" s="2" t="s">
        <v>491</v>
      </c>
      <c r="D256" s="2"/>
      <c r="E256" s="2"/>
      <c r="F256" s="312"/>
      <c r="G256" s="312"/>
      <c r="H256" s="312"/>
      <c r="I256" s="329" t="s">
        <v>14</v>
      </c>
      <c r="J256" s="329" t="s">
        <v>14</v>
      </c>
    </row>
    <row r="257" spans="2:10">
      <c r="C257" s="2"/>
      <c r="D257" s="2"/>
      <c r="E257" s="2"/>
      <c r="F257" s="312"/>
      <c r="G257" s="312"/>
      <c r="H257" s="312"/>
      <c r="I257" s="331"/>
      <c r="J257" s="331"/>
    </row>
    <row r="258" spans="2:10">
      <c r="B258" s="309" t="s">
        <v>492</v>
      </c>
      <c r="C258" s="308"/>
      <c r="D258" s="308"/>
      <c r="E258" s="308"/>
      <c r="F258" s="313"/>
      <c r="G258" s="313"/>
      <c r="H258" s="313"/>
      <c r="I258" s="331"/>
      <c r="J258" s="331"/>
    </row>
    <row r="259" spans="2:10">
      <c r="C259" s="2" t="s">
        <v>493</v>
      </c>
      <c r="D259" s="2"/>
      <c r="E259" s="2"/>
      <c r="F259" s="312"/>
      <c r="G259" s="312"/>
      <c r="H259" s="312"/>
      <c r="I259" s="331"/>
      <c r="J259" s="331"/>
    </row>
    <row r="260" spans="2:10">
      <c r="B260" s="312" t="s">
        <v>494</v>
      </c>
      <c r="C260" s="312" t="s">
        <v>494</v>
      </c>
      <c r="D260" s="312"/>
      <c r="E260" s="312"/>
      <c r="F260" s="312"/>
      <c r="G260" s="312"/>
      <c r="H260" s="312"/>
      <c r="I260" s="332" t="s">
        <v>14</v>
      </c>
      <c r="J260" s="332" t="s">
        <v>14</v>
      </c>
    </row>
    <row r="261" spans="2:10">
      <c r="B261" s="312" t="s">
        <v>495</v>
      </c>
      <c r="C261" s="312" t="s">
        <v>495</v>
      </c>
      <c r="D261" s="312"/>
      <c r="E261" s="312"/>
      <c r="F261" s="312"/>
      <c r="G261" s="312"/>
      <c r="H261" s="312"/>
      <c r="I261" s="332" t="s">
        <v>14</v>
      </c>
      <c r="J261" s="332" t="s">
        <v>14</v>
      </c>
    </row>
    <row r="262" spans="2:10">
      <c r="B262" s="312" t="s">
        <v>496</v>
      </c>
      <c r="C262" s="312" t="s">
        <v>496</v>
      </c>
      <c r="D262" s="312"/>
      <c r="E262" s="312"/>
      <c r="F262" s="312"/>
      <c r="G262" s="312"/>
      <c r="H262" s="312"/>
      <c r="I262" s="332" t="s">
        <v>14</v>
      </c>
      <c r="J262" s="332" t="s">
        <v>14</v>
      </c>
    </row>
    <row r="263" spans="2:10">
      <c r="B263" s="312" t="s">
        <v>497</v>
      </c>
      <c r="C263" s="312" t="s">
        <v>497</v>
      </c>
      <c r="D263" s="312"/>
      <c r="E263" s="312"/>
      <c r="F263" s="312"/>
      <c r="G263" s="312"/>
      <c r="H263" s="312"/>
      <c r="I263" s="332" t="s">
        <v>14</v>
      </c>
      <c r="J263" s="332" t="s">
        <v>14</v>
      </c>
    </row>
    <row r="264" spans="2:10">
      <c r="B264" s="312" t="s">
        <v>498</v>
      </c>
      <c r="C264" s="312" t="s">
        <v>498</v>
      </c>
      <c r="D264" s="312"/>
      <c r="E264" s="312"/>
      <c r="F264" s="312"/>
      <c r="G264" s="312"/>
      <c r="H264" s="312"/>
      <c r="I264" s="332" t="s">
        <v>14</v>
      </c>
      <c r="J264" s="332" t="s">
        <v>14</v>
      </c>
    </row>
    <row r="265" spans="2:10">
      <c r="B265" s="312" t="s">
        <v>499</v>
      </c>
      <c r="C265" s="312" t="s">
        <v>499</v>
      </c>
      <c r="D265" s="312"/>
      <c r="E265" s="312"/>
      <c r="F265" s="312"/>
      <c r="G265" s="312"/>
      <c r="H265" s="312"/>
      <c r="I265" s="332" t="s">
        <v>14</v>
      </c>
      <c r="J265" s="332" t="s">
        <v>14</v>
      </c>
    </row>
    <row r="266" spans="2:10">
      <c r="C266" s="2" t="s">
        <v>500</v>
      </c>
      <c r="D266" s="2"/>
      <c r="E266" s="2"/>
      <c r="F266" s="312"/>
      <c r="G266" s="312"/>
      <c r="H266" s="312"/>
      <c r="I266" s="331"/>
      <c r="J266" s="331"/>
    </row>
    <row r="267" spans="2:10">
      <c r="C267" s="312" t="s">
        <v>494</v>
      </c>
      <c r="D267" s="312"/>
      <c r="E267" s="312"/>
      <c r="F267" s="312"/>
      <c r="G267" s="312"/>
      <c r="H267" s="312"/>
      <c r="I267" s="332" t="s">
        <v>14</v>
      </c>
      <c r="J267" s="332" t="s">
        <v>14</v>
      </c>
    </row>
    <row r="268" spans="2:10">
      <c r="C268" s="312" t="s">
        <v>495</v>
      </c>
      <c r="D268" s="312"/>
      <c r="E268" s="312"/>
      <c r="F268" s="312"/>
      <c r="G268" s="312"/>
      <c r="H268" s="312"/>
      <c r="I268" s="332" t="s">
        <v>14</v>
      </c>
      <c r="J268" s="332" t="s">
        <v>14</v>
      </c>
    </row>
    <row r="269" spans="2:10">
      <c r="C269" s="312" t="s">
        <v>496</v>
      </c>
      <c r="D269" s="312"/>
      <c r="E269" s="312"/>
      <c r="F269" s="312"/>
      <c r="G269" s="312"/>
      <c r="H269" s="312"/>
      <c r="I269" s="332" t="s">
        <v>14</v>
      </c>
      <c r="J269" s="332" t="s">
        <v>14</v>
      </c>
    </row>
    <row r="270" spans="2:10">
      <c r="C270" s="312" t="s">
        <v>497</v>
      </c>
      <c r="D270" s="312"/>
      <c r="E270" s="312"/>
      <c r="F270" s="312"/>
      <c r="G270" s="312"/>
      <c r="H270" s="312"/>
      <c r="I270" s="332" t="s">
        <v>14</v>
      </c>
      <c r="J270" s="332" t="s">
        <v>14</v>
      </c>
    </row>
    <row r="271" spans="2:10">
      <c r="C271" s="312" t="s">
        <v>498</v>
      </c>
      <c r="D271" s="312"/>
      <c r="E271" s="312"/>
      <c r="F271" s="312"/>
      <c r="G271" s="312"/>
      <c r="H271" s="312"/>
      <c r="I271" s="332" t="s">
        <v>14</v>
      </c>
      <c r="J271" s="332" t="s">
        <v>14</v>
      </c>
    </row>
    <row r="272" spans="2:10">
      <c r="C272" s="312" t="s">
        <v>499</v>
      </c>
      <c r="D272" s="312"/>
      <c r="E272" s="312"/>
      <c r="F272" s="312"/>
      <c r="G272" s="312"/>
      <c r="H272" s="312"/>
      <c r="I272" s="332" t="s">
        <v>14</v>
      </c>
      <c r="J272" s="332" t="s">
        <v>14</v>
      </c>
    </row>
    <row r="273" spans="2:10">
      <c r="C273" s="308" t="s">
        <v>541</v>
      </c>
      <c r="D273" s="2"/>
      <c r="E273" s="2"/>
      <c r="F273" s="312"/>
      <c r="G273" s="312"/>
      <c r="H273" s="312"/>
      <c r="I273" s="364" t="s">
        <v>14</v>
      </c>
      <c r="J273" s="364" t="s">
        <v>14</v>
      </c>
    </row>
    <row r="274" spans="2:10">
      <c r="C274" s="2"/>
      <c r="D274" s="2"/>
      <c r="E274" s="2"/>
      <c r="F274" s="312"/>
      <c r="G274" s="312"/>
      <c r="H274" s="312"/>
      <c r="I274" s="331"/>
      <c r="J274" s="331"/>
    </row>
    <row r="275" spans="2:10">
      <c r="B275" s="309" t="s">
        <v>501</v>
      </c>
      <c r="C275" s="308"/>
      <c r="D275" s="308"/>
      <c r="E275" s="308"/>
      <c r="F275" s="312"/>
      <c r="G275" s="312"/>
      <c r="H275" s="312"/>
      <c r="I275" s="331"/>
      <c r="J275" s="331"/>
    </row>
    <row r="276" spans="2:10">
      <c r="C276" s="308" t="s">
        <v>502</v>
      </c>
      <c r="D276" s="2"/>
      <c r="E276" s="2"/>
      <c r="F276" s="312"/>
      <c r="G276" s="312"/>
      <c r="H276" s="312"/>
      <c r="I276" s="364" t="s">
        <v>14</v>
      </c>
      <c r="J276" s="364" t="s">
        <v>14</v>
      </c>
    </row>
    <row r="277" spans="2:10">
      <c r="C277" s="2" t="s">
        <v>503</v>
      </c>
      <c r="D277" s="2"/>
      <c r="E277" s="2"/>
      <c r="F277" s="312"/>
      <c r="G277" s="312"/>
      <c r="H277" s="312"/>
      <c r="I277" s="331"/>
      <c r="J277" s="331"/>
    </row>
    <row r="278" spans="2:10">
      <c r="C278" s="312" t="s">
        <v>342</v>
      </c>
      <c r="D278" s="312"/>
      <c r="E278" s="312"/>
      <c r="F278" s="312"/>
      <c r="G278" s="312"/>
      <c r="H278" s="312"/>
      <c r="I278" s="332" t="s">
        <v>14</v>
      </c>
      <c r="J278" s="332" t="s">
        <v>14</v>
      </c>
    </row>
    <row r="279" spans="2:10">
      <c r="C279" s="312" t="s">
        <v>504</v>
      </c>
      <c r="D279" s="312"/>
      <c r="E279" s="312"/>
      <c r="F279" s="312"/>
      <c r="G279" s="312"/>
      <c r="H279" s="312"/>
      <c r="I279" s="332" t="s">
        <v>14</v>
      </c>
      <c r="J279" s="332" t="s">
        <v>14</v>
      </c>
    </row>
    <row r="280" spans="2:10">
      <c r="C280" s="312" t="s">
        <v>385</v>
      </c>
      <c r="D280" s="312"/>
      <c r="E280" s="312"/>
      <c r="F280" s="312"/>
      <c r="G280" s="312"/>
      <c r="H280" s="312"/>
      <c r="I280" s="332" t="s">
        <v>14</v>
      </c>
      <c r="J280" s="332" t="s">
        <v>14</v>
      </c>
    </row>
    <row r="281" spans="2:10">
      <c r="C281" s="312" t="s">
        <v>505</v>
      </c>
      <c r="D281" s="312"/>
      <c r="E281" s="312"/>
      <c r="F281" s="312"/>
      <c r="G281" s="312"/>
      <c r="H281" s="312"/>
      <c r="I281" s="332" t="s">
        <v>14</v>
      </c>
      <c r="J281" s="332" t="s">
        <v>14</v>
      </c>
    </row>
    <row r="282" spans="2:10">
      <c r="C282" s="312" t="s">
        <v>506</v>
      </c>
      <c r="D282" s="312"/>
      <c r="E282" s="312"/>
      <c r="F282" s="312"/>
      <c r="G282" s="312"/>
      <c r="H282" s="312"/>
      <c r="I282" s="332" t="s">
        <v>14</v>
      </c>
      <c r="J282" s="332" t="s">
        <v>14</v>
      </c>
    </row>
    <row r="283" spans="2:10">
      <c r="C283" s="312" t="s">
        <v>409</v>
      </c>
      <c r="D283" s="312"/>
      <c r="E283" s="312"/>
      <c r="F283" s="312"/>
      <c r="G283" s="312"/>
      <c r="H283" s="312"/>
      <c r="I283" s="331"/>
      <c r="J283" s="331"/>
    </row>
    <row r="284" spans="2:10">
      <c r="C284" s="315" t="s">
        <v>507</v>
      </c>
      <c r="D284" s="315"/>
      <c r="E284" s="315"/>
      <c r="F284" s="315"/>
      <c r="G284" s="315"/>
      <c r="H284" s="315"/>
      <c r="I284" s="332" t="s">
        <v>14</v>
      </c>
      <c r="J284" s="332" t="s">
        <v>14</v>
      </c>
    </row>
    <row r="285" spans="2:10">
      <c r="C285" s="315" t="s">
        <v>508</v>
      </c>
      <c r="D285" s="315"/>
      <c r="E285" s="315"/>
      <c r="F285" s="315"/>
      <c r="G285" s="315"/>
      <c r="H285" s="315"/>
      <c r="I285" s="332" t="s">
        <v>14</v>
      </c>
      <c r="J285" s="332" t="s">
        <v>14</v>
      </c>
    </row>
    <row r="286" spans="2:10">
      <c r="C286" s="315" t="s">
        <v>509</v>
      </c>
      <c r="D286" s="315"/>
      <c r="E286" s="315"/>
      <c r="F286" s="315"/>
      <c r="G286" s="315"/>
      <c r="H286" s="315"/>
      <c r="I286" s="332" t="s">
        <v>14</v>
      </c>
      <c r="J286" s="332" t="s">
        <v>14</v>
      </c>
    </row>
    <row r="287" spans="2:10">
      <c r="C287" s="2"/>
      <c r="D287" s="2"/>
      <c r="E287" s="2"/>
      <c r="F287" s="311"/>
      <c r="G287" s="311"/>
      <c r="H287" s="311"/>
      <c r="I287" s="331"/>
      <c r="J287" s="331"/>
    </row>
    <row r="288" spans="2:10">
      <c r="B288" s="309" t="s">
        <v>501</v>
      </c>
      <c r="C288" s="2"/>
      <c r="D288" s="2"/>
      <c r="E288" s="2"/>
      <c r="F288" s="311"/>
      <c r="G288" s="311"/>
      <c r="H288" s="311"/>
      <c r="I288" s="331"/>
      <c r="J288" s="331"/>
    </row>
    <row r="289" spans="3:15">
      <c r="C289" s="308" t="s">
        <v>510</v>
      </c>
      <c r="D289" s="2"/>
      <c r="E289" s="2"/>
      <c r="F289" s="311"/>
      <c r="G289" s="311"/>
      <c r="H289" s="311"/>
      <c r="I289" s="364" t="s">
        <v>14</v>
      </c>
      <c r="J289" s="364" t="s">
        <v>14</v>
      </c>
    </row>
    <row r="290" spans="3:15">
      <c r="C290" s="308" t="s">
        <v>511</v>
      </c>
      <c r="D290" s="2"/>
      <c r="E290" s="2"/>
      <c r="F290" s="311"/>
      <c r="G290" s="311"/>
      <c r="H290" s="311"/>
      <c r="I290" s="364" t="s">
        <v>14</v>
      </c>
      <c r="J290" s="364" t="s">
        <v>14</v>
      </c>
    </row>
    <row r="291" spans="3:15">
      <c r="C291" s="2"/>
      <c r="D291" s="2"/>
      <c r="E291" s="2"/>
      <c r="F291" s="2"/>
      <c r="G291" s="2"/>
      <c r="H291" s="2"/>
      <c r="I291" s="2"/>
      <c r="J291" s="7"/>
      <c r="K291" s="2"/>
      <c r="L291" s="2"/>
      <c r="M291" s="301"/>
      <c r="N291" s="2"/>
      <c r="O291" s="301"/>
    </row>
  </sheetData>
  <sheetProtection selectLockedCells="1"/>
  <mergeCells count="109">
    <mergeCell ref="C8:D8"/>
    <mergeCell ref="F8:G8"/>
    <mergeCell ref="I8:K8"/>
    <mergeCell ref="L8:M8"/>
    <mergeCell ref="C9:D9"/>
    <mergeCell ref="F9:G9"/>
    <mergeCell ref="I9:K9"/>
    <mergeCell ref="L9:M9"/>
    <mergeCell ref="C6:D6"/>
    <mergeCell ref="F6:G6"/>
    <mergeCell ref="I6:K6"/>
    <mergeCell ref="L6:M6"/>
    <mergeCell ref="C7:D7"/>
    <mergeCell ref="F7:G7"/>
    <mergeCell ref="I7:K7"/>
    <mergeCell ref="L7:M7"/>
    <mergeCell ref="F12:G12"/>
    <mergeCell ref="I14:K14"/>
    <mergeCell ref="L14:M14"/>
    <mergeCell ref="C13:D13"/>
    <mergeCell ref="F13:G13"/>
    <mergeCell ref="I15:K15"/>
    <mergeCell ref="L15:M15"/>
    <mergeCell ref="C10:D10"/>
    <mergeCell ref="F10:G10"/>
    <mergeCell ref="I10:K10"/>
    <mergeCell ref="L10:M10"/>
    <mergeCell ref="F11:G11"/>
    <mergeCell ref="I13:K13"/>
    <mergeCell ref="L13:M13"/>
    <mergeCell ref="I11:J11"/>
    <mergeCell ref="L11:M11"/>
    <mergeCell ref="I12:K12"/>
    <mergeCell ref="L12:M12"/>
    <mergeCell ref="L22:M22"/>
    <mergeCell ref="C23:D23"/>
    <mergeCell ref="C16:D16"/>
    <mergeCell ref="F16:G16"/>
    <mergeCell ref="I18:K18"/>
    <mergeCell ref="L18:M18"/>
    <mergeCell ref="C14:D14"/>
    <mergeCell ref="F14:G14"/>
    <mergeCell ref="I16:K16"/>
    <mergeCell ref="L16:M16"/>
    <mergeCell ref="C15:D15"/>
    <mergeCell ref="F15:G15"/>
    <mergeCell ref="I17:K17"/>
    <mergeCell ref="L17:M17"/>
    <mergeCell ref="H52:M52"/>
    <mergeCell ref="I64:J64"/>
    <mergeCell ref="I65:J65"/>
    <mergeCell ref="C55:D55"/>
    <mergeCell ref="C56:D56"/>
    <mergeCell ref="H55:M55"/>
    <mergeCell ref="C57:D57"/>
    <mergeCell ref="H56:M56"/>
    <mergeCell ref="C52:D52"/>
    <mergeCell ref="C53:D53"/>
    <mergeCell ref="C54:D54"/>
    <mergeCell ref="H53:M53"/>
    <mergeCell ref="H54:M54"/>
    <mergeCell ref="H58:M58"/>
    <mergeCell ref="C58:D58"/>
    <mergeCell ref="H57:M57"/>
    <mergeCell ref="I63:J63"/>
    <mergeCell ref="C50:D50"/>
    <mergeCell ref="C51:D51"/>
    <mergeCell ref="C46:D46"/>
    <mergeCell ref="C47:D47"/>
    <mergeCell ref="C48:D48"/>
    <mergeCell ref="H46:M46"/>
    <mergeCell ref="H47:M47"/>
    <mergeCell ref="F23:G23"/>
    <mergeCell ref="I23:K23"/>
    <mergeCell ref="L23:M23"/>
    <mergeCell ref="C24:D24"/>
    <mergeCell ref="F24:G24"/>
    <mergeCell ref="C38:D38"/>
    <mergeCell ref="C39:D39"/>
    <mergeCell ref="H48:M48"/>
    <mergeCell ref="H49:M49"/>
    <mergeCell ref="H50:M50"/>
    <mergeCell ref="H51:M51"/>
    <mergeCell ref="C49:D49"/>
    <mergeCell ref="K24:M24"/>
    <mergeCell ref="P16:U17"/>
    <mergeCell ref="C27:M34"/>
    <mergeCell ref="H39:M39"/>
    <mergeCell ref="H40:M40"/>
    <mergeCell ref="H41:M41"/>
    <mergeCell ref="H42:M42"/>
    <mergeCell ref="H43:M43"/>
    <mergeCell ref="H44:M44"/>
    <mergeCell ref="H45:M45"/>
    <mergeCell ref="H37:M37"/>
    <mergeCell ref="H38:M38"/>
    <mergeCell ref="C43:D43"/>
    <mergeCell ref="C44:D44"/>
    <mergeCell ref="C45:D45"/>
    <mergeCell ref="C40:D40"/>
    <mergeCell ref="C41:D41"/>
    <mergeCell ref="C42:D42"/>
    <mergeCell ref="C21:D21"/>
    <mergeCell ref="F21:G21"/>
    <mergeCell ref="I21:K21"/>
    <mergeCell ref="L21:M21"/>
    <mergeCell ref="C22:D22"/>
    <mergeCell ref="F22:G22"/>
    <mergeCell ref="I22:K22"/>
  </mergeCells>
  <pageMargins left="0.32" right="0.16" top="0.52" bottom="0.36" header="0.19" footer="0.16"/>
  <pageSetup scale="85" orientation="portrait" r:id="rId1"/>
  <headerFooter>
    <oddHeader>&amp;C&amp;"-,Bold"&amp;16PROJECT SUMMARY SHEET</oddHeader>
  </headerFooter>
  <rowBreaks count="1" manualBreakCount="1">
    <brk id="35" max="16383"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3B0F0-F2AC-44A2-9026-36B4E70F878A}">
  <sheetPr>
    <tabColor rgb="FFC00000"/>
    <pageSetUpPr fitToPage="1"/>
  </sheetPr>
  <dimension ref="A1:L127"/>
  <sheetViews>
    <sheetView topLeftCell="A19" zoomScale="70" zoomScaleNormal="70" workbookViewId="0">
      <selection activeCell="Q68" sqref="Q68"/>
    </sheetView>
  </sheetViews>
  <sheetFormatPr baseColWidth="10" defaultColWidth="8.6640625" defaultRowHeight="15"/>
  <cols>
    <col min="1" max="1" width="33" style="2" bestFit="1" customWidth="1"/>
    <col min="2" max="2" width="12.1640625" style="2" customWidth="1"/>
    <col min="3" max="3" width="12.6640625" style="629" bestFit="1" customWidth="1"/>
    <col min="4" max="8" width="15.83203125" style="301" customWidth="1"/>
    <col min="9" max="9" width="16.83203125" style="301" customWidth="1"/>
    <col min="10" max="10" width="15.1640625" style="2" customWidth="1"/>
    <col min="11" max="11" width="15.83203125" style="2" customWidth="1"/>
    <col min="12" max="12" width="15" style="2" customWidth="1"/>
    <col min="13" max="16384" width="8.6640625" style="2"/>
  </cols>
  <sheetData>
    <row r="1" spans="1:12" ht="20" thickBot="1">
      <c r="A1" s="849" t="s">
        <v>863</v>
      </c>
      <c r="B1" s="850"/>
      <c r="C1" s="850"/>
      <c r="D1" s="850"/>
      <c r="E1" s="850"/>
      <c r="F1" s="850"/>
      <c r="G1" s="850"/>
      <c r="H1" s="850"/>
      <c r="I1" s="850"/>
      <c r="J1" s="850"/>
      <c r="K1" s="850"/>
      <c r="L1" s="851"/>
    </row>
    <row r="2" spans="1:12">
      <c r="A2" s="668" t="s">
        <v>862</v>
      </c>
      <c r="C2" s="2"/>
      <c r="D2" s="670" t="s">
        <v>861</v>
      </c>
      <c r="E2" s="669" t="s">
        <v>860</v>
      </c>
      <c r="F2" s="668" t="s">
        <v>859</v>
      </c>
      <c r="H2" s="852" t="s">
        <v>858</v>
      </c>
      <c r="I2" s="853"/>
      <c r="J2" s="853"/>
      <c r="K2" s="854"/>
    </row>
    <row r="3" spans="1:12">
      <c r="A3" s="652" t="s">
        <v>828</v>
      </c>
      <c r="C3" s="2"/>
      <c r="D3" s="662" t="str">
        <f t="shared" ref="D3:D14" si="0">A3</f>
        <v>Review</v>
      </c>
      <c r="E3" s="631">
        <v>0.25</v>
      </c>
      <c r="F3" s="301" t="str">
        <f t="shared" ref="F3:F14" si="1">IF(E3=1.25,"100 hrs/month",IF(E3=1,"80 hrs/month",IF(E3=0.75,"60 hrs/month",IF(E3=0.5,"40 hrs/month",IF(E3=0.25,"20 hrs/month","0 hrs/month")))))</f>
        <v>20 hrs/month</v>
      </c>
      <c r="H3" s="2"/>
      <c r="I3" s="664" t="s">
        <v>857</v>
      </c>
      <c r="J3" s="631">
        <v>2.5</v>
      </c>
      <c r="K3" s="301">
        <f>(J3/1)*64</f>
        <v>160</v>
      </c>
      <c r="L3" s="2" t="s">
        <v>854</v>
      </c>
    </row>
    <row r="4" spans="1:12">
      <c r="A4" s="640" t="s">
        <v>54</v>
      </c>
      <c r="C4" s="2"/>
      <c r="D4" s="662" t="str">
        <f t="shared" si="0"/>
        <v>Feasibility</v>
      </c>
      <c r="E4" s="631">
        <v>0.25</v>
      </c>
      <c r="F4" s="301" t="str">
        <f t="shared" si="1"/>
        <v>20 hrs/month</v>
      </c>
      <c r="I4" s="664" t="s">
        <v>856</v>
      </c>
      <c r="K4" s="301">
        <f>K3*20%</f>
        <v>32</v>
      </c>
      <c r="L4" s="2" t="s">
        <v>854</v>
      </c>
    </row>
    <row r="5" spans="1:12">
      <c r="A5" s="643" t="s">
        <v>821</v>
      </c>
      <c r="C5" s="2"/>
      <c r="D5" s="662" t="str">
        <f t="shared" si="0"/>
        <v>TC-HUD APP</v>
      </c>
      <c r="E5" s="631">
        <v>1</v>
      </c>
      <c r="F5" s="301" t="str">
        <f t="shared" si="1"/>
        <v>80 hrs/month</v>
      </c>
      <c r="I5" s="664" t="s">
        <v>855</v>
      </c>
      <c r="K5" s="301">
        <f>K3+K4</f>
        <v>192</v>
      </c>
      <c r="L5" s="2" t="s">
        <v>854</v>
      </c>
    </row>
    <row r="6" spans="1:12">
      <c r="A6" s="641" t="s">
        <v>819</v>
      </c>
      <c r="D6" s="662" t="str">
        <f t="shared" si="0"/>
        <v>Pre Dev</v>
      </c>
      <c r="E6" s="631">
        <v>1</v>
      </c>
      <c r="F6" s="301" t="str">
        <f t="shared" si="1"/>
        <v>80 hrs/month</v>
      </c>
      <c r="I6" s="301" t="s">
        <v>853</v>
      </c>
      <c r="K6" s="667">
        <f>(K5*12)/49</f>
        <v>47.020408163265309</v>
      </c>
    </row>
    <row r="7" spans="1:12">
      <c r="A7" s="642" t="s">
        <v>55</v>
      </c>
      <c r="D7" s="662" t="str">
        <f t="shared" si="0"/>
        <v>Closing</v>
      </c>
      <c r="E7" s="631">
        <v>1.25</v>
      </c>
      <c r="F7" s="301" t="str">
        <f t="shared" si="1"/>
        <v>100 hrs/month</v>
      </c>
      <c r="I7" s="2"/>
    </row>
    <row r="8" spans="1:12">
      <c r="A8" s="639" t="s">
        <v>816</v>
      </c>
      <c r="D8" s="662" t="str">
        <f t="shared" si="0"/>
        <v>Const Mng</v>
      </c>
      <c r="E8" s="631">
        <v>0.5</v>
      </c>
      <c r="F8" s="301" t="str">
        <f t="shared" si="1"/>
        <v>40 hrs/month</v>
      </c>
      <c r="I8" s="664" t="s">
        <v>852</v>
      </c>
      <c r="K8" s="667">
        <f>K6*52/12</f>
        <v>203.75510204081635</v>
      </c>
    </row>
    <row r="9" spans="1:12">
      <c r="A9" s="647" t="s">
        <v>823</v>
      </c>
      <c r="D9" s="662" t="str">
        <f t="shared" si="0"/>
        <v>Conversion</v>
      </c>
      <c r="E9" s="631">
        <v>0.25</v>
      </c>
      <c r="F9" s="301" t="str">
        <f t="shared" si="1"/>
        <v>20 hrs/month</v>
      </c>
      <c r="I9" s="664" t="s">
        <v>851</v>
      </c>
      <c r="K9" s="666">
        <f>(40*49)/12</f>
        <v>163.33333333333334</v>
      </c>
    </row>
    <row r="10" spans="1:12">
      <c r="A10" s="646">
        <v>8609</v>
      </c>
      <c r="D10" s="665">
        <f t="shared" si="0"/>
        <v>8609</v>
      </c>
      <c r="E10" s="631">
        <v>0.25</v>
      </c>
      <c r="F10" s="301" t="str">
        <f t="shared" si="1"/>
        <v>20 hrs/month</v>
      </c>
      <c r="I10" s="664"/>
      <c r="K10" s="301"/>
    </row>
    <row r="11" spans="1:12">
      <c r="A11" s="655" t="s">
        <v>831</v>
      </c>
      <c r="D11" s="662" t="str">
        <f t="shared" si="0"/>
        <v>Next Phase</v>
      </c>
      <c r="E11" s="631">
        <v>0.25</v>
      </c>
      <c r="F11" s="301" t="str">
        <f t="shared" si="1"/>
        <v>20 hrs/month</v>
      </c>
    </row>
    <row r="12" spans="1:12">
      <c r="A12" s="644" t="s">
        <v>822</v>
      </c>
      <c r="D12" s="662" t="str">
        <f t="shared" si="0"/>
        <v>No Action</v>
      </c>
      <c r="E12" s="631">
        <v>0</v>
      </c>
      <c r="F12" s="301" t="str">
        <f t="shared" si="1"/>
        <v>0 hrs/month</v>
      </c>
    </row>
    <row r="13" spans="1:12">
      <c r="A13" s="663" t="s">
        <v>825</v>
      </c>
      <c r="D13" s="662" t="str">
        <f t="shared" si="0"/>
        <v>Draw Mng</v>
      </c>
      <c r="E13" s="631">
        <v>0.25</v>
      </c>
      <c r="F13" s="301" t="str">
        <f t="shared" si="1"/>
        <v>20 hrs/month</v>
      </c>
    </row>
    <row r="14" spans="1:12">
      <c r="A14" s="638" t="s">
        <v>814</v>
      </c>
      <c r="D14" s="662" t="str">
        <f t="shared" si="0"/>
        <v>Staff Mng</v>
      </c>
      <c r="E14" s="631">
        <v>1</v>
      </c>
      <c r="F14" s="301" t="str">
        <f t="shared" si="1"/>
        <v>80 hrs/month</v>
      </c>
    </row>
    <row r="16" spans="1:12" ht="33" thickBot="1">
      <c r="A16" s="661" t="s">
        <v>850</v>
      </c>
      <c r="B16" s="659" t="s">
        <v>849</v>
      </c>
      <c r="C16" s="660" t="s">
        <v>848</v>
      </c>
      <c r="D16" s="659" t="s">
        <v>847</v>
      </c>
      <c r="E16" s="659" t="s">
        <v>846</v>
      </c>
      <c r="F16" s="659" t="s">
        <v>845</v>
      </c>
      <c r="G16" s="659" t="s">
        <v>844</v>
      </c>
      <c r="H16" s="660" t="s">
        <v>843</v>
      </c>
      <c r="I16" s="659" t="s">
        <v>842</v>
      </c>
      <c r="J16" s="659" t="s">
        <v>841</v>
      </c>
      <c r="K16" s="659" t="s">
        <v>840</v>
      </c>
      <c r="L16" s="659" t="s">
        <v>839</v>
      </c>
    </row>
    <row r="17" spans="1:12" ht="16" thickBot="1">
      <c r="A17" s="658" t="s">
        <v>838</v>
      </c>
      <c r="H17" s="1"/>
    </row>
    <row r="18" spans="1:12">
      <c r="A18" s="645" t="str">
        <f>[10]Detail!A40</f>
        <v>Galewood SLF</v>
      </c>
      <c r="B18" s="635">
        <f>[10]Detail!H40</f>
        <v>102</v>
      </c>
      <c r="C18" s="637">
        <f t="shared" ref="C18:C28" si="2">((IF(D18=$D$3,$E$3,0)+IF(D18=$D$4,$E$4,0)+IF(D18=$D$5,$E$5,0)+IF(D18=$D$6,$E$6,0)+IF(D18=$D$7,$E$7,0)+IF(D18=$D$8,$E$8,0)+IF(D18=$D$9,$E$9,0)+IF(D18=$D$10,$E$10,0)+IF(D18=$D$11,$E$11,0)+IF(D18=$D$14,$E$14,0)+IF(D18=$D$13,$E$13,0))+(IF(E18=$D$3,$E$3,0)+IF(E18=$D$4,$E$4,0)+IF(E18=$D$5,$E$5,0)+IF(E18=$D$6,$E$6,0)+IF(E18=$D$7,$E$7,0)+IF(E18=$D$8,$E$8,0)+IF(E18=$D$9,$E$9,0)+IF(E18=$D$10,$E$10,0)+IF(E18=$D$11,$E$11,0)+IF(E18=$D$14,$E$14,0)+IF(E18=$D$13,$E$13,0))+(IF(F18=$D$3,$E$3,0)+IF(F18=$D$4,$E$4,0)+IF(F18=$D$5,$E$5,0)+IF(F18=$D$6,$E$6,0)+IF(F18=$D$7,$E$7,0)+IF(F18=$D$8,$E$8,0)+IF(F18=$D$9,$E$9,0)+IF(F18=$D$10,$E$10,0)+IF(F18=$D$11,$E$11,0)+IF(F18=$D$14,$E$14,0)+IF(F18=$D$13,$E$13,0))+(IF(G18=$D$3,$E$3,0)+IF(G18=$D$4,$E$4,0)+IF(G18=$D$5,$E$5,0)+IF(G18=$D$6,$E$6,0)+IF(G18=$D$7,$E$7,0)+IF(G18=$D$8,$E$8,0)+IF(G18=$D$9,$E$9,0)+IF(G18=$D$10,$E$10,0)+IF(G18=$D$11,$E$11,0)+IF(G18=$D$14,$E$14,0)+IF(G18=$D$13,$E$13,0)))/4</f>
        <v>0.125</v>
      </c>
      <c r="D18" s="646">
        <v>8609</v>
      </c>
      <c r="E18" s="646">
        <v>8609</v>
      </c>
      <c r="H18" s="637">
        <f t="shared" ref="H18:H28" si="3">((IF(I18=$D$3,$E$3,0)+IF(I18=$D$4,$E$4,0)+IF(I18=$D$5,$E$5,0)+IF(I18=$D$6,$E$6,0)+IF(I18=$D$7,$E$7,0)+IF(I18=$D$8,$E$8,0)+IF(I18=$D$9,$E$9,0)+IF(I18=$D$10,$E$10,0)+IF(I18=$D$11,$E$11,0)+IF(I18=$D$14,$E$14,0)+IF(I18=$D$13,$E$13,0))+(IF(J18=$D$3,$E$3,0)+IF(J18=$D$4,$E$4,0)+IF(J18=$D$5,$E$5,0)+IF(J18=$D$6,$E$6,0)+IF(J18=$D$7,$E$7,0)+IF(J18=$D$8,$E$8,0)+IF(J18=$D$9,$E$9,0)+IF(J18=$D$10,$E$10,0)+IF(J18=$D$11,$E$11,0)+IF(J18=$D$14,$E$14,0)+IF(J18=$D$13,$E$13,0))+(IF(K18=$D$3,$E$3,0)+IF(K18=$D$4,$E$4,0)+IF(K18=$D$5,$E$5,0)+IF(K18=$D$6,$E$6,0)+IF(K18=$D$7,$E$7,0)+IF(K18=$D$8,$E$8,0)+IF(K18=$D$9,$E$9,0)+IF(K18=$D$10,$E$10,0)+IF(K18=$D$11,$E$11,0)+IF(K18=$D$14,$E$14,0)+IF(K18=$D$13,$E$13,0))+(IF(L18=$D$3,$E$3,0)+IF(L18=$D$4,$E$4,0)+IF(L18=$D$5,$E$5,0)+IF(L18=$D$6,$E$6,0)+IF(L18=$D$7,$E$7,0)+IF(L18=$D$8,$E$8,0)+IF(L18=$D$9,$E$9,0)+IF(L18=$D$10,$E$10,0)+IF(L18=$D$11,$E$11,0)+IF(L18=$D$14,$E$14,0)+IF(L18=$D$13,$E$13,0)))/4</f>
        <v>0</v>
      </c>
    </row>
    <row r="19" spans="1:12">
      <c r="A19" s="645" t="str">
        <f>[10]Detail!A3</f>
        <v>Englewood</v>
      </c>
      <c r="B19" s="635">
        <f>[10]Detail!H3</f>
        <v>99</v>
      </c>
      <c r="C19" s="637">
        <f t="shared" si="2"/>
        <v>0.125</v>
      </c>
      <c r="D19" s="646">
        <v>8609</v>
      </c>
      <c r="E19" s="646">
        <v>8609</v>
      </c>
      <c r="H19" s="637">
        <f t="shared" si="3"/>
        <v>0</v>
      </c>
    </row>
    <row r="20" spans="1:12">
      <c r="A20" s="645" t="str">
        <f>[10]Detail!A8</f>
        <v>Uptown Bond (HWA)</v>
      </c>
      <c r="B20" s="635">
        <f>[10]Detail!H8+[10]Detail!H9</f>
        <v>139</v>
      </c>
      <c r="C20" s="637">
        <f t="shared" si="2"/>
        <v>0.875</v>
      </c>
      <c r="D20" s="642" t="s">
        <v>55</v>
      </c>
      <c r="E20" s="642" t="s">
        <v>55</v>
      </c>
      <c r="F20" s="639" t="s">
        <v>816</v>
      </c>
      <c r="G20" s="639" t="s">
        <v>816</v>
      </c>
      <c r="H20" s="637">
        <f t="shared" si="3"/>
        <v>0.5</v>
      </c>
      <c r="I20" s="639" t="s">
        <v>816</v>
      </c>
      <c r="J20" s="639" t="s">
        <v>816</v>
      </c>
      <c r="K20" s="639" t="s">
        <v>816</v>
      </c>
      <c r="L20" s="639" t="s">
        <v>816</v>
      </c>
    </row>
    <row r="21" spans="1:12">
      <c r="A21" s="7" t="str">
        <f>[10]Detail!A41</f>
        <v>Malden Arms</v>
      </c>
      <c r="B21" s="635">
        <f>[10]Detail!H41</f>
        <v>83</v>
      </c>
      <c r="C21" s="637">
        <f t="shared" si="2"/>
        <v>1.0625</v>
      </c>
      <c r="D21" s="643" t="s">
        <v>821</v>
      </c>
      <c r="E21" s="643" t="s">
        <v>821</v>
      </c>
      <c r="F21" s="641" t="s">
        <v>819</v>
      </c>
      <c r="G21" s="642" t="s">
        <v>55</v>
      </c>
      <c r="H21" s="637">
        <f t="shared" si="3"/>
        <v>0.5</v>
      </c>
      <c r="I21" s="639" t="s">
        <v>816</v>
      </c>
      <c r="J21" s="639" t="s">
        <v>816</v>
      </c>
      <c r="K21" s="639" t="s">
        <v>816</v>
      </c>
      <c r="L21" s="639" t="s">
        <v>816</v>
      </c>
    </row>
    <row r="22" spans="1:12">
      <c r="A22" s="2" t="str">
        <f>[10]Detail!A47</f>
        <v>Homan Square (Phase 2)</v>
      </c>
      <c r="B22" s="635">
        <f>[10]Detail!H47</f>
        <v>195</v>
      </c>
      <c r="C22" s="637">
        <f t="shared" si="2"/>
        <v>6.25E-2</v>
      </c>
      <c r="D22" s="644" t="s">
        <v>822</v>
      </c>
      <c r="E22" s="644" t="s">
        <v>822</v>
      </c>
      <c r="F22" s="644" t="s">
        <v>822</v>
      </c>
      <c r="G22" s="655" t="s">
        <v>831</v>
      </c>
      <c r="H22" s="637">
        <f t="shared" si="3"/>
        <v>0.625</v>
      </c>
      <c r="I22" s="655" t="s">
        <v>831</v>
      </c>
      <c r="J22" s="655" t="s">
        <v>831</v>
      </c>
      <c r="K22" s="641" t="s">
        <v>819</v>
      </c>
      <c r="L22" s="641" t="s">
        <v>819</v>
      </c>
    </row>
    <row r="23" spans="1:12">
      <c r="A23" s="2" t="str">
        <f>[10]Detail!A14</f>
        <v>Danville VA Hospital Site</v>
      </c>
      <c r="B23" s="635">
        <f>[10]Detail!H14</f>
        <v>60</v>
      </c>
      <c r="C23" s="637">
        <f t="shared" si="2"/>
        <v>0.875</v>
      </c>
      <c r="D23" s="640" t="s">
        <v>54</v>
      </c>
      <c r="E23" s="643" t="s">
        <v>821</v>
      </c>
      <c r="F23" s="641" t="s">
        <v>819</v>
      </c>
      <c r="G23" s="642" t="s">
        <v>55</v>
      </c>
      <c r="H23" s="637">
        <f t="shared" si="3"/>
        <v>0.5</v>
      </c>
      <c r="I23" s="639" t="s">
        <v>816</v>
      </c>
      <c r="J23" s="639" t="s">
        <v>816</v>
      </c>
      <c r="K23" s="639" t="s">
        <v>816</v>
      </c>
      <c r="L23" s="639" t="s">
        <v>816</v>
      </c>
    </row>
    <row r="24" spans="1:12">
      <c r="A24" s="7" t="s">
        <v>837</v>
      </c>
      <c r="B24" s="635">
        <f>[10]Detail!H11</f>
        <v>187</v>
      </c>
      <c r="C24" s="637">
        <f t="shared" si="2"/>
        <v>1.0625</v>
      </c>
      <c r="D24" s="643" t="s">
        <v>821</v>
      </c>
      <c r="E24" s="643" t="s">
        <v>821</v>
      </c>
      <c r="F24" s="641" t="s">
        <v>819</v>
      </c>
      <c r="G24" s="642" t="s">
        <v>55</v>
      </c>
      <c r="H24" s="637">
        <f t="shared" si="3"/>
        <v>0.5</v>
      </c>
      <c r="I24" s="639" t="s">
        <v>816</v>
      </c>
      <c r="J24" s="639" t="s">
        <v>816</v>
      </c>
      <c r="K24" s="639" t="s">
        <v>816</v>
      </c>
      <c r="L24" s="639" t="s">
        <v>816</v>
      </c>
    </row>
    <row r="25" spans="1:12">
      <c r="A25" s="7" t="s">
        <v>836</v>
      </c>
      <c r="B25" s="635">
        <f>[10]Detail!H48</f>
        <v>60</v>
      </c>
      <c r="C25" s="637">
        <f t="shared" si="2"/>
        <v>0</v>
      </c>
      <c r="D25" s="644" t="s">
        <v>822</v>
      </c>
      <c r="E25" s="644" t="s">
        <v>822</v>
      </c>
      <c r="F25" s="644" t="s">
        <v>822</v>
      </c>
      <c r="G25" s="644" t="s">
        <v>822</v>
      </c>
      <c r="H25" s="637">
        <f t="shared" si="3"/>
        <v>0.25</v>
      </c>
      <c r="I25" s="655" t="s">
        <v>831</v>
      </c>
      <c r="J25" s="655" t="s">
        <v>831</v>
      </c>
      <c r="K25" s="655" t="s">
        <v>831</v>
      </c>
      <c r="L25" s="655" t="s">
        <v>831</v>
      </c>
    </row>
    <row r="26" spans="1:12">
      <c r="A26" s="2" t="str">
        <f>[10]Detail!A48</f>
        <v>26th &amp; Kostner</v>
      </c>
      <c r="B26" s="635">
        <f>SUM([10]Detail!H49:H55)</f>
        <v>288</v>
      </c>
      <c r="C26" s="637">
        <f t="shared" si="2"/>
        <v>0</v>
      </c>
      <c r="D26" s="644" t="s">
        <v>822</v>
      </c>
      <c r="E26" s="644" t="s">
        <v>822</v>
      </c>
      <c r="F26" s="644" t="s">
        <v>822</v>
      </c>
      <c r="G26" s="644" t="s">
        <v>822</v>
      </c>
      <c r="H26" s="637">
        <f t="shared" si="3"/>
        <v>0.25</v>
      </c>
      <c r="I26" s="655" t="s">
        <v>831</v>
      </c>
      <c r="J26" s="655" t="s">
        <v>831</v>
      </c>
      <c r="K26" s="655" t="s">
        <v>831</v>
      </c>
      <c r="L26" s="655" t="s">
        <v>831</v>
      </c>
    </row>
    <row r="27" spans="1:12">
      <c r="A27" s="7" t="str">
        <f>[10]Detail!A12</f>
        <v xml:space="preserve">Keating Building </v>
      </c>
      <c r="B27" s="635">
        <f>[10]Detail!H12</f>
        <v>112</v>
      </c>
      <c r="C27" s="637">
        <f t="shared" si="2"/>
        <v>0.5</v>
      </c>
      <c r="D27" s="643" t="s">
        <v>821</v>
      </c>
      <c r="E27" s="644" t="s">
        <v>822</v>
      </c>
      <c r="F27" s="644" t="s">
        <v>822</v>
      </c>
      <c r="G27" s="641" t="s">
        <v>819</v>
      </c>
      <c r="H27" s="637">
        <f t="shared" si="3"/>
        <v>1.0625</v>
      </c>
      <c r="I27" s="641" t="s">
        <v>819</v>
      </c>
      <c r="J27" s="641" t="s">
        <v>819</v>
      </c>
      <c r="K27" s="641" t="s">
        <v>819</v>
      </c>
      <c r="L27" s="642" t="s">
        <v>55</v>
      </c>
    </row>
    <row r="28" spans="1:12">
      <c r="A28" s="2" t="e">
        <f>[10]Detail!#REF!</f>
        <v>#REF!</v>
      </c>
      <c r="B28" s="635" t="e">
        <f>[10]Detail!#REF!</f>
        <v>#REF!</v>
      </c>
      <c r="C28" s="637">
        <f t="shared" si="2"/>
        <v>0</v>
      </c>
      <c r="D28" s="644" t="s">
        <v>822</v>
      </c>
      <c r="E28" s="644" t="s">
        <v>822</v>
      </c>
      <c r="F28" s="644" t="s">
        <v>822</v>
      </c>
      <c r="G28" s="644" t="s">
        <v>822</v>
      </c>
      <c r="H28" s="637">
        <f t="shared" si="3"/>
        <v>0.4375</v>
      </c>
      <c r="I28" s="655" t="s">
        <v>831</v>
      </c>
      <c r="J28" s="655" t="s">
        <v>831</v>
      </c>
      <c r="K28" s="655" t="s">
        <v>831</v>
      </c>
      <c r="L28" s="641" t="s">
        <v>819</v>
      </c>
    </row>
    <row r="29" spans="1:12">
      <c r="B29" s="301"/>
      <c r="C29" s="656"/>
      <c r="D29" s="635"/>
      <c r="H29" s="637"/>
    </row>
    <row r="30" spans="1:12">
      <c r="A30" s="2" t="s">
        <v>35</v>
      </c>
      <c r="B30" s="635" t="e">
        <f>SUM(B18:B29)</f>
        <v>#REF!</v>
      </c>
      <c r="C30" s="656">
        <f>SUM(C18:C29)</f>
        <v>4.6875</v>
      </c>
      <c r="D30" s="635"/>
      <c r="E30" s="635"/>
      <c r="F30" s="635"/>
      <c r="G30" s="635"/>
      <c r="H30" s="637">
        <f>SUM(H18:H29)</f>
        <v>4.625</v>
      </c>
      <c r="I30" s="635"/>
    </row>
    <row r="31" spans="1:12">
      <c r="A31" s="2" t="s">
        <v>835</v>
      </c>
      <c r="B31" s="635"/>
      <c r="C31" s="656">
        <f>C30/C34</f>
        <v>2.34375</v>
      </c>
      <c r="D31" s="635"/>
      <c r="E31" s="635"/>
      <c r="F31" s="635"/>
      <c r="G31" s="635"/>
      <c r="H31" s="656">
        <f>H30/H34</f>
        <v>2.3125</v>
      </c>
      <c r="I31" s="635"/>
    </row>
    <row r="32" spans="1:12">
      <c r="A32" s="2" t="s">
        <v>812</v>
      </c>
      <c r="B32" s="632"/>
      <c r="C32" s="631">
        <f>((40*52)/12)*(C30/4)</f>
        <v>203.125</v>
      </c>
      <c r="D32" s="635"/>
      <c r="E32" s="635"/>
      <c r="F32" s="635"/>
      <c r="G32" s="635"/>
      <c r="H32" s="631">
        <f>((40*52)/12)*(H30/4)</f>
        <v>200.41666666666669</v>
      </c>
      <c r="I32" s="635"/>
    </row>
    <row r="33" spans="1:12">
      <c r="A33" s="2" t="s">
        <v>811</v>
      </c>
      <c r="B33" s="632"/>
      <c r="C33" s="631">
        <f>C30/$J$3</f>
        <v>1.875</v>
      </c>
      <c r="D33" s="635"/>
      <c r="E33" s="635"/>
      <c r="F33" s="635"/>
      <c r="G33" s="635"/>
      <c r="H33" s="631">
        <f>H30/$J$3</f>
        <v>1.85</v>
      </c>
      <c r="I33" s="635"/>
    </row>
    <row r="34" spans="1:12">
      <c r="A34" s="2" t="s">
        <v>810</v>
      </c>
      <c r="B34" s="632"/>
      <c r="C34" s="631">
        <v>2</v>
      </c>
      <c r="D34" s="635"/>
      <c r="E34" s="635"/>
      <c r="F34" s="635"/>
      <c r="G34" s="635"/>
      <c r="H34" s="631">
        <v>2</v>
      </c>
      <c r="I34" s="635"/>
    </row>
    <row r="35" spans="1:12">
      <c r="A35" s="2" t="s">
        <v>809</v>
      </c>
      <c r="B35" s="632"/>
      <c r="C35" s="630">
        <f>100%-C33/C34</f>
        <v>6.25E-2</v>
      </c>
      <c r="D35" s="635"/>
      <c r="E35" s="635"/>
      <c r="F35" s="635"/>
      <c r="G35" s="635"/>
      <c r="H35" s="636">
        <f>100%-H33/H34</f>
        <v>7.4999999999999956E-2</v>
      </c>
      <c r="I35" s="635"/>
    </row>
    <row r="36" spans="1:12" ht="16" thickBot="1">
      <c r="B36" s="632"/>
      <c r="C36" s="631"/>
      <c r="D36" s="635"/>
      <c r="E36" s="635"/>
      <c r="F36" s="635"/>
      <c r="G36" s="635"/>
      <c r="H36" s="631"/>
      <c r="I36" s="635"/>
    </row>
    <row r="37" spans="1:12" ht="16" thickBot="1">
      <c r="A37" s="657" t="s">
        <v>834</v>
      </c>
      <c r="H37" s="637"/>
    </row>
    <row r="38" spans="1:12">
      <c r="A38" s="645" t="str">
        <f>[10]Detail!A6</f>
        <v>Roseland Place</v>
      </c>
      <c r="B38" s="635">
        <f>[10]Detail!H6</f>
        <v>60</v>
      </c>
      <c r="C38" s="637">
        <f t="shared" ref="C38:C43" si="4">((IF(D38=$D$3,$E$3,0)+IF(D38=$D$4,$E$4,0)+IF(D38=$D$5,$E$5,0)+IF(D38=$D$6,$E$6,0)+IF(D38=$D$7,$E$7,0)+IF(D38=$D$8,$E$8,0)+IF(D38=$D$9,$E$9,0)+IF(D38=$D$10,$E$10,0)+IF(D38=$D$11,$E$11,0)+IF(D38=$D$14,$E$14,0)+IF(D38=$D$13,$E$13,0))+(IF(E38=$D$3,$E$3,0)+IF(E38=$D$4,$E$4,0)+IF(E38=$D$5,$E$5,0)+IF(E38=$D$6,$E$6,0)+IF(E38=$D$7,$E$7,0)+IF(E38=$D$8,$E$8,0)+IF(E38=$D$9,$E$9,0)+IF(E38=$D$10,$E$10,0)+IF(E38=$D$11,$E$11,0)+IF(E38=$D$14,$E$14,0)+IF(E38=$D$13,$E$13,0))+(IF(F38=$D$3,$E$3,0)+IF(F38=$D$4,$E$4,0)+IF(F38=$D$5,$E$5,0)+IF(F38=$D$6,$E$6,0)+IF(F38=$D$7,$E$7,0)+IF(F38=$D$8,$E$8,0)+IF(F38=$D$9,$E$9,0)+IF(F38=$D$10,$E$10,0)+IF(F38=$D$11,$E$11,0)+IF(F38=$D$14,$E$14,0)+IF(F38=$D$13,$E$13,0))+(IF(G38=$D$3,$E$3,0)+IF(G38=$D$4,$E$4,0)+IF(G38=$D$5,$E$5,0)+IF(G38=$D$6,$E$6,0)+IF(G38=$D$7,$E$7,0)+IF(G38=$D$8,$E$8,0)+IF(G38=$D$9,$E$9,0)+IF(G38=$D$10,$E$10,0)+IF(G38=$D$11,$E$11,0)+IF(G38=$D$14,$E$14,0)+IF(G38=$D$13,$E$13,0)))/4</f>
        <v>0.5</v>
      </c>
      <c r="D38" s="639" t="s">
        <v>816</v>
      </c>
      <c r="E38" s="639" t="s">
        <v>816</v>
      </c>
      <c r="F38" s="639" t="s">
        <v>816</v>
      </c>
      <c r="G38" s="639" t="s">
        <v>816</v>
      </c>
      <c r="H38" s="637">
        <f t="shared" ref="H38:H43" si="5">((IF(I38=$D$3,$E$3,0)+IF(I38=$D$4,$E$4,0)+IF(I38=$D$5,$E$5,0)+IF(I38=$D$6,$E$6,0)+IF(I38=$D$7,$E$7,0)+IF(I38=$D$8,$E$8,0)+IF(I38=$D$9,$E$9,0)+IF(I38=$D$10,$E$10,0)+IF(I38=$D$11,$E$11,0)+IF(I38=$D$14,$E$14,0)+IF(I38=$D$13,$E$13,0))+(IF(J38=$D$3,$E$3,0)+IF(J38=$D$4,$E$4,0)+IF(J38=$D$5,$E$5,0)+IF(J38=$D$6,$E$6,0)+IF(J38=$D$7,$E$7,0)+IF(J38=$D$8,$E$8,0)+IF(J38=$D$9,$E$9,0)+IF(J38=$D$10,$E$10,0)+IF(J38=$D$11,$E$11,0)+IF(J38=$D$14,$E$14,0)+IF(J38=$D$13,$E$13,0))+(IF(K38=$D$3,$E$3,0)+IF(K38=$D$4,$E$4,0)+IF(K38=$D$5,$E$5,0)+IF(K38=$D$6,$E$6,0)+IF(K38=$D$7,$E$7,0)+IF(K38=$D$8,$E$8,0)+IF(K38=$D$9,$E$9,0)+IF(K38=$D$10,$E$10,0)+IF(K38=$D$11,$E$11,0)+IF(K38=$D$14,$E$14,0)+IF(K38=$D$13,$E$13,0))+(IF(L38=$D$3,$E$3,0)+IF(L38=$D$4,$E$4,0)+IF(L38=$D$5,$E$5,0)+IF(L38=$D$6,$E$6,0)+IF(L38=$D$7,$E$7,0)+IF(L38=$D$8,$E$8,0)+IF(L38=$D$9,$E$9,0)+IF(L38=$D$10,$E$10,0)+IF(L38=$D$11,$E$11,0)+IF(L38=$D$14,$E$14,0)+IF(L38=$D$13,$E$13,0)))/4</f>
        <v>0.1875</v>
      </c>
      <c r="I38" s="647" t="s">
        <v>823</v>
      </c>
      <c r="J38" s="647" t="s">
        <v>823</v>
      </c>
      <c r="K38" s="646">
        <v>8609</v>
      </c>
      <c r="L38" s="1"/>
    </row>
    <row r="39" spans="1:12">
      <c r="A39" s="7" t="str">
        <f>[10]Detail!A17</f>
        <v>Greenwich Park Apartments</v>
      </c>
      <c r="B39" s="635">
        <f>[10]Detail!H17</f>
        <v>55</v>
      </c>
      <c r="C39" s="637">
        <f t="shared" si="4"/>
        <v>0.625</v>
      </c>
      <c r="D39" s="640" t="s">
        <v>54</v>
      </c>
      <c r="E39" s="640" t="s">
        <v>54</v>
      </c>
      <c r="F39" s="641" t="s">
        <v>819</v>
      </c>
      <c r="G39" s="641" t="s">
        <v>819</v>
      </c>
      <c r="H39" s="637">
        <f t="shared" si="5"/>
        <v>1.0625</v>
      </c>
      <c r="I39" s="643" t="s">
        <v>821</v>
      </c>
      <c r="J39" s="641" t="s">
        <v>819</v>
      </c>
      <c r="K39" s="641" t="s">
        <v>819</v>
      </c>
      <c r="L39" s="642" t="s">
        <v>55</v>
      </c>
    </row>
    <row r="40" spans="1:12">
      <c r="A40" s="645" t="str">
        <f>[10]Detail!A18</f>
        <v>YMCA Austin</v>
      </c>
      <c r="B40" s="635">
        <f>[10]Detail!H18</f>
        <v>160</v>
      </c>
      <c r="C40" s="637">
        <f t="shared" si="4"/>
        <v>1.0625</v>
      </c>
      <c r="D40" s="643" t="s">
        <v>821</v>
      </c>
      <c r="E40" s="641" t="s">
        <v>819</v>
      </c>
      <c r="F40" s="641" t="s">
        <v>819</v>
      </c>
      <c r="G40" s="642" t="s">
        <v>55</v>
      </c>
      <c r="H40" s="637">
        <f t="shared" si="5"/>
        <v>0.5</v>
      </c>
      <c r="I40" s="639" t="s">
        <v>816</v>
      </c>
      <c r="J40" s="639" t="s">
        <v>816</v>
      </c>
      <c r="K40" s="639" t="s">
        <v>816</v>
      </c>
      <c r="L40" s="639" t="s">
        <v>816</v>
      </c>
    </row>
    <row r="41" spans="1:12">
      <c r="A41" s="7" t="str">
        <f>[10]Detail!A19</f>
        <v>MSR 5th Ward Project</v>
      </c>
      <c r="B41" s="635">
        <f>[10]Detail!H19</f>
        <v>55</v>
      </c>
      <c r="C41" s="637">
        <f t="shared" si="4"/>
        <v>0.375</v>
      </c>
      <c r="D41" s="640" t="s">
        <v>54</v>
      </c>
      <c r="E41" s="644" t="s">
        <v>822</v>
      </c>
      <c r="F41" s="640" t="s">
        <v>54</v>
      </c>
      <c r="G41" s="641" t="s">
        <v>819</v>
      </c>
      <c r="H41" s="637">
        <f t="shared" si="5"/>
        <v>1.0625</v>
      </c>
      <c r="I41" s="643" t="s">
        <v>821</v>
      </c>
      <c r="J41" s="641" t="s">
        <v>819</v>
      </c>
      <c r="K41" s="641" t="s">
        <v>819</v>
      </c>
      <c r="L41" s="642" t="s">
        <v>55</v>
      </c>
    </row>
    <row r="42" spans="1:12">
      <c r="A42" s="7" t="str">
        <f>[10]Detail!A61</f>
        <v>Prince Hall (Phase 1)</v>
      </c>
      <c r="B42" s="635">
        <f>[10]Detail!H61</f>
        <v>55</v>
      </c>
      <c r="C42" s="637">
        <f t="shared" si="4"/>
        <v>6.25E-2</v>
      </c>
      <c r="D42" s="644" t="s">
        <v>822</v>
      </c>
      <c r="E42" s="652" t="s">
        <v>828</v>
      </c>
      <c r="F42" s="644" t="s">
        <v>822</v>
      </c>
      <c r="G42" s="644" t="s">
        <v>822</v>
      </c>
      <c r="H42" s="637">
        <f t="shared" si="5"/>
        <v>6.25E-2</v>
      </c>
      <c r="I42" s="640" t="s">
        <v>54</v>
      </c>
      <c r="J42" s="644" t="s">
        <v>822</v>
      </c>
      <c r="K42" s="644" t="s">
        <v>822</v>
      </c>
      <c r="L42" s="644" t="s">
        <v>822</v>
      </c>
    </row>
    <row r="43" spans="1:12">
      <c r="A43" s="2" t="str">
        <f>[10]Detail!A64</f>
        <v>Library Mall</v>
      </c>
      <c r="B43" s="635">
        <f>[10]Detail!H64</f>
        <v>55</v>
      </c>
      <c r="C43" s="637">
        <f t="shared" si="4"/>
        <v>6.25E-2</v>
      </c>
      <c r="D43" s="652" t="s">
        <v>828</v>
      </c>
      <c r="E43" s="644" t="s">
        <v>822</v>
      </c>
      <c r="F43" s="644" t="s">
        <v>822</v>
      </c>
      <c r="G43" s="644" t="s">
        <v>822</v>
      </c>
      <c r="H43" s="637">
        <f t="shared" si="5"/>
        <v>0.8125</v>
      </c>
      <c r="I43" s="640" t="s">
        <v>54</v>
      </c>
      <c r="J43" s="641" t="s">
        <v>819</v>
      </c>
      <c r="K43" s="641" t="s">
        <v>819</v>
      </c>
      <c r="L43" s="641" t="s">
        <v>819</v>
      </c>
    </row>
    <row r="44" spans="1:12">
      <c r="B44" s="301"/>
      <c r="H44" s="637"/>
    </row>
    <row r="45" spans="1:12">
      <c r="A45" s="2" t="s">
        <v>35</v>
      </c>
      <c r="B45" s="635">
        <f>SUM(B38:B44)</f>
        <v>440</v>
      </c>
      <c r="C45" s="656">
        <f>SUM(C38:C44)</f>
        <v>2.6875</v>
      </c>
      <c r="H45" s="637">
        <f>SUM(H38:H44)</f>
        <v>3.6875</v>
      </c>
    </row>
    <row r="46" spans="1:12">
      <c r="A46" s="2" t="s">
        <v>812</v>
      </c>
      <c r="B46" s="632"/>
      <c r="C46" s="631">
        <f>((40*52)/12)*(C45/4)</f>
        <v>116.45833333333334</v>
      </c>
      <c r="H46" s="631">
        <f>((40*52)/12)*(H45/4)</f>
        <v>159.79166666666669</v>
      </c>
    </row>
    <row r="47" spans="1:12">
      <c r="A47" s="2" t="s">
        <v>811</v>
      </c>
      <c r="B47" s="632"/>
      <c r="C47" s="631">
        <f>C45/$J$3</f>
        <v>1.075</v>
      </c>
      <c r="D47" s="635"/>
      <c r="E47" s="635"/>
      <c r="F47" s="635"/>
      <c r="G47" s="635"/>
      <c r="H47" s="631">
        <f>H45/$J$3</f>
        <v>1.4750000000000001</v>
      </c>
      <c r="I47" s="635"/>
    </row>
    <row r="48" spans="1:12">
      <c r="A48" s="2" t="s">
        <v>810</v>
      </c>
      <c r="B48" s="632"/>
      <c r="C48" s="631">
        <v>1</v>
      </c>
      <c r="D48" s="635"/>
      <c r="E48" s="635"/>
      <c r="F48" s="635"/>
      <c r="G48" s="635"/>
      <c r="H48" s="631">
        <v>1</v>
      </c>
      <c r="I48" s="635"/>
    </row>
    <row r="49" spans="1:12">
      <c r="A49" s="2" t="s">
        <v>809</v>
      </c>
      <c r="B49" s="632"/>
      <c r="C49" s="630">
        <f>100%-C47/C48</f>
        <v>-7.4999999999999956E-2</v>
      </c>
      <c r="D49" s="635"/>
      <c r="E49" s="635"/>
      <c r="F49" s="635"/>
      <c r="G49" s="635"/>
      <c r="H49" s="636">
        <f>100%-H47/H48</f>
        <v>-0.47500000000000009</v>
      </c>
      <c r="I49" s="635"/>
    </row>
    <row r="50" spans="1:12" ht="16" thickBot="1">
      <c r="B50" s="632"/>
      <c r="C50" s="631"/>
      <c r="H50" s="631"/>
    </row>
    <row r="51" spans="1:12" ht="16" thickBot="1">
      <c r="A51" s="654" t="s">
        <v>833</v>
      </c>
      <c r="H51" s="637"/>
    </row>
    <row r="52" spans="1:12">
      <c r="A52" s="645" t="str">
        <f>[10]Detail!A5</f>
        <v>Johnston Center</v>
      </c>
      <c r="B52" s="635">
        <f>[10]Detail!H5</f>
        <v>91</v>
      </c>
      <c r="C52" s="637">
        <f t="shared" ref="C52:C57" si="6">((IF(D52=$D$3,$E$3,0)+IF(D52=$D$4,$E$4,0)+IF(D52=$D$5,$E$5,0)+IF(D52=$D$6,$E$6,0)+IF(D52=$D$7,$E$7,0)+IF(D52=$D$8,$E$8,0)+IF(D52=$D$9,$E$9,0)+IF(D52=$D$10,$E$10,0)+IF(D52=$D$11,$E$11,0)+IF(D52=$D$14,$E$14,0)+IF(D52=$D$13,$E$13,0))+(IF(E52=$D$3,$E$3,0)+IF(E52=$D$4,$E$4,0)+IF(E52=$D$5,$E$5,0)+IF(E52=$D$6,$E$6,0)+IF(E52=$D$7,$E$7,0)+IF(E52=$D$8,$E$8,0)+IF(E52=$D$9,$E$9,0)+IF(E52=$D$10,$E$10,0)+IF(E52=$D$11,$E$11,0)+IF(E52=$D$14,$E$14,0)+IF(E52=$D$13,$E$13,0))+(IF(F52=$D$3,$E$3,0)+IF(F52=$D$4,$E$4,0)+IF(F52=$D$5,$E$5,0)+IF(F52=$D$6,$E$6,0)+IF(F52=$D$7,$E$7,0)+IF(F52=$D$8,$E$8,0)+IF(F52=$D$9,$E$9,0)+IF(F52=$D$10,$E$10,0)+IF(F52=$D$11,$E$11,0)+IF(F52=$D$14,$E$14,0)+IF(F52=$D$13,$E$13,0))+(IF(G52=$D$3,$E$3,0)+IF(G52=$D$4,$E$4,0)+IF(G52=$D$5,$E$5,0)+IF(G52=$D$6,$E$6,0)+IF(G52=$D$7,$E$7,0)+IF(G52=$D$8,$E$8,0)+IF(G52=$D$9,$E$9,0)+IF(G52=$D$10,$E$10,0)+IF(G52=$D$11,$E$11,0)+IF(G52=$D$14,$E$14,0)+IF(G52=$D$13,$E$13,0)))/4</f>
        <v>0.4375</v>
      </c>
      <c r="D52" s="639" t="s">
        <v>816</v>
      </c>
      <c r="E52" s="639" t="s">
        <v>816</v>
      </c>
      <c r="F52" s="639" t="s">
        <v>816</v>
      </c>
      <c r="G52" s="647" t="s">
        <v>823</v>
      </c>
      <c r="H52" s="637">
        <f t="shared" ref="H52:H57" si="7">((IF(I52=$D$3,$E$3,0)+IF(I52=$D$4,$E$4,0)+IF(I52=$D$5,$E$5,0)+IF(I52=$D$6,$E$6,0)+IF(I52=$D$7,$E$7,0)+IF(I52=$D$8,$E$8,0)+IF(I52=$D$9,$E$9,0)+IF(I52=$D$10,$E$10,0)+IF(I52=$D$11,$E$11,0)+IF(I52=$D$14,$E$14,0)+IF(I52=$D$13,$E$13,0))+(IF(J52=$D$3,$E$3,0)+IF(J52=$D$4,$E$4,0)+IF(J52=$D$5,$E$5,0)+IF(J52=$D$6,$E$6,0)+IF(J52=$D$7,$E$7,0)+IF(J52=$D$8,$E$8,0)+IF(J52=$D$9,$E$9,0)+IF(J52=$D$10,$E$10,0)+IF(J52=$D$11,$E$11,0)+IF(J52=$D$14,$E$14,0)+IF(J52=$D$13,$E$13,0))+(IF(K52=$D$3,$E$3,0)+IF(K52=$D$4,$E$4,0)+IF(K52=$D$5,$E$5,0)+IF(K52=$D$6,$E$6,0)+IF(K52=$D$7,$E$7,0)+IF(K52=$D$8,$E$8,0)+IF(K52=$D$9,$E$9,0)+IF(K52=$D$10,$E$10,0)+IF(K52=$D$11,$E$11,0)+IF(K52=$D$14,$E$14,0)+IF(K52=$D$13,$E$13,0))+(IF(L52=$D$3,$E$3,0)+IF(L52=$D$4,$E$4,0)+IF(L52=$D$5,$E$5,0)+IF(L52=$D$6,$E$6,0)+IF(L52=$D$7,$E$7,0)+IF(L52=$D$8,$E$8,0)+IF(L52=$D$9,$E$9,0)+IF(L52=$D$10,$E$10,0)+IF(L52=$D$11,$E$11,0)+IF(L52=$D$14,$E$14,0)+IF(L52=$D$13,$E$13,0)))/4</f>
        <v>0.125</v>
      </c>
      <c r="I52" s="646">
        <v>8609</v>
      </c>
      <c r="J52" s="646">
        <v>8609</v>
      </c>
    </row>
    <row r="53" spans="1:12">
      <c r="A53" s="2" t="str">
        <f>[10]Detail!A56</f>
        <v>Copley Site (Phase 1)</v>
      </c>
      <c r="B53" s="635">
        <f>[10]Detail!H56</f>
        <v>60</v>
      </c>
      <c r="C53" s="637">
        <f t="shared" si="6"/>
        <v>1.0625</v>
      </c>
      <c r="D53" s="643" t="s">
        <v>821</v>
      </c>
      <c r="E53" s="641" t="s">
        <v>819</v>
      </c>
      <c r="F53" s="641" t="s">
        <v>819</v>
      </c>
      <c r="G53" s="642" t="s">
        <v>55</v>
      </c>
      <c r="H53" s="637">
        <f t="shared" si="7"/>
        <v>0.5</v>
      </c>
      <c r="I53" s="639" t="s">
        <v>816</v>
      </c>
      <c r="J53" s="639" t="s">
        <v>816</v>
      </c>
      <c r="K53" s="639" t="s">
        <v>816</v>
      </c>
      <c r="L53" s="639" t="s">
        <v>816</v>
      </c>
    </row>
    <row r="54" spans="1:12">
      <c r="A54" s="2" t="str">
        <f>[10]Detail!A57</f>
        <v>Copley Site</v>
      </c>
      <c r="B54" s="635">
        <f>SUM([10]Detail!H57:H58)</f>
        <v>135</v>
      </c>
      <c r="C54" s="637">
        <f t="shared" si="6"/>
        <v>0</v>
      </c>
      <c r="D54" s="644" t="s">
        <v>822</v>
      </c>
      <c r="E54" s="644" t="s">
        <v>822</v>
      </c>
      <c r="F54" s="644" t="s">
        <v>822</v>
      </c>
      <c r="G54" s="644" t="s">
        <v>822</v>
      </c>
      <c r="H54" s="637">
        <f t="shared" si="7"/>
        <v>0.625</v>
      </c>
      <c r="I54" s="655" t="s">
        <v>831</v>
      </c>
      <c r="J54" s="655" t="s">
        <v>831</v>
      </c>
      <c r="K54" s="641" t="s">
        <v>819</v>
      </c>
      <c r="L54" s="641" t="s">
        <v>819</v>
      </c>
    </row>
    <row r="55" spans="1:12">
      <c r="A55" s="2" t="str">
        <f>[10]Detail!A16</f>
        <v>Streeterville (Childrens Memorial)</v>
      </c>
      <c r="B55" s="635">
        <f>[10]Detail!H16</f>
        <v>95</v>
      </c>
      <c r="C55" s="637">
        <f t="shared" si="6"/>
        <v>0.375</v>
      </c>
      <c r="D55" s="644" t="s">
        <v>822</v>
      </c>
      <c r="E55" s="640" t="s">
        <v>54</v>
      </c>
      <c r="F55" s="640" t="s">
        <v>54</v>
      </c>
      <c r="G55" s="641" t="s">
        <v>819</v>
      </c>
      <c r="H55" s="637">
        <f t="shared" si="7"/>
        <v>1.0625</v>
      </c>
      <c r="I55" s="643" t="s">
        <v>821</v>
      </c>
      <c r="J55" s="641" t="s">
        <v>819</v>
      </c>
      <c r="K55" s="641" t="s">
        <v>819</v>
      </c>
      <c r="L55" s="642" t="s">
        <v>55</v>
      </c>
    </row>
    <row r="56" spans="1:12">
      <c r="A56" s="2" t="str">
        <f>[10]Detail!A27</f>
        <v>Danville VA Hospital Site/phase1</v>
      </c>
      <c r="B56" s="635">
        <f>[10]Detail!H27</f>
        <v>40</v>
      </c>
      <c r="C56" s="637">
        <f t="shared" si="6"/>
        <v>0.625</v>
      </c>
      <c r="D56" s="640" t="s">
        <v>54</v>
      </c>
      <c r="E56" s="640" t="s">
        <v>54</v>
      </c>
      <c r="F56" s="643" t="s">
        <v>821</v>
      </c>
      <c r="G56" s="641" t="s">
        <v>819</v>
      </c>
      <c r="H56" s="637">
        <f t="shared" si="7"/>
        <v>0.9375</v>
      </c>
      <c r="I56" s="641" t="s">
        <v>819</v>
      </c>
      <c r="J56" s="641" t="s">
        <v>819</v>
      </c>
      <c r="K56" s="642" t="s">
        <v>55</v>
      </c>
      <c r="L56" s="639" t="s">
        <v>816</v>
      </c>
    </row>
    <row r="57" spans="1:12">
      <c r="A57" s="2" t="s">
        <v>832</v>
      </c>
      <c r="B57" s="635">
        <f>[10]Detail!H60</f>
        <v>50</v>
      </c>
      <c r="C57" s="637">
        <f t="shared" si="6"/>
        <v>0</v>
      </c>
      <c r="D57" s="644" t="s">
        <v>822</v>
      </c>
      <c r="E57" s="644" t="s">
        <v>822</v>
      </c>
      <c r="F57" s="644" t="s">
        <v>822</v>
      </c>
      <c r="G57" s="644" t="s">
        <v>822</v>
      </c>
      <c r="H57" s="637">
        <f t="shared" si="7"/>
        <v>0.25</v>
      </c>
      <c r="I57" s="655" t="s">
        <v>831</v>
      </c>
      <c r="J57" s="655" t="s">
        <v>831</v>
      </c>
      <c r="K57" s="655" t="s">
        <v>831</v>
      </c>
      <c r="L57" s="655" t="s">
        <v>831</v>
      </c>
    </row>
    <row r="58" spans="1:12">
      <c r="B58" s="301"/>
      <c r="H58" s="637"/>
    </row>
    <row r="59" spans="1:12">
      <c r="A59" s="2" t="s">
        <v>35</v>
      </c>
      <c r="B59" s="635">
        <f>SUM(B52:B58)</f>
        <v>471</v>
      </c>
      <c r="C59" s="631">
        <f>SUM(C52:C58)</f>
        <v>2.5</v>
      </c>
      <c r="H59" s="631">
        <f>SUM(H52:H58)</f>
        <v>3.5</v>
      </c>
    </row>
    <row r="60" spans="1:12">
      <c r="A60" s="2" t="s">
        <v>812</v>
      </c>
      <c r="B60" s="632"/>
      <c r="C60" s="631">
        <f>((40*52)/12)*(C59/4)</f>
        <v>108.33333333333334</v>
      </c>
      <c r="H60" s="631">
        <f>((40*52)/12)*(H59/4)</f>
        <v>151.66666666666669</v>
      </c>
    </row>
    <row r="61" spans="1:12">
      <c r="A61" s="2" t="s">
        <v>811</v>
      </c>
      <c r="B61" s="632"/>
      <c r="C61" s="631">
        <f>C59/$J$3</f>
        <v>1</v>
      </c>
      <c r="D61" s="635"/>
      <c r="E61" s="635"/>
      <c r="F61" s="635"/>
      <c r="G61" s="635"/>
      <c r="H61" s="631">
        <f>H59/$J$3</f>
        <v>1.4</v>
      </c>
      <c r="I61" s="635"/>
    </row>
    <row r="62" spans="1:12">
      <c r="A62" s="2" t="s">
        <v>810</v>
      </c>
      <c r="B62" s="632"/>
      <c r="C62" s="631">
        <v>1</v>
      </c>
      <c r="D62" s="635"/>
      <c r="E62" s="635"/>
      <c r="F62" s="635"/>
      <c r="G62" s="635"/>
      <c r="H62" s="631">
        <v>1</v>
      </c>
      <c r="I62" s="635"/>
    </row>
    <row r="63" spans="1:12">
      <c r="A63" s="2" t="s">
        <v>809</v>
      </c>
      <c r="B63" s="632"/>
      <c r="C63" s="630">
        <f>100%-C61/C62</f>
        <v>0</v>
      </c>
      <c r="D63" s="635"/>
      <c r="E63" s="635"/>
      <c r="F63" s="635"/>
      <c r="G63" s="635"/>
      <c r="H63" s="636">
        <f>100%-H61/H62</f>
        <v>-0.39999999999999991</v>
      </c>
      <c r="I63" s="635"/>
    </row>
    <row r="64" spans="1:12" ht="16" thickBot="1">
      <c r="B64" s="632"/>
      <c r="C64" s="631"/>
      <c r="H64" s="631"/>
    </row>
    <row r="65" spans="1:12" ht="16" thickBot="1">
      <c r="A65" s="654" t="s">
        <v>830</v>
      </c>
      <c r="H65" s="637"/>
    </row>
    <row r="66" spans="1:12">
      <c r="A66" s="7" t="str">
        <f>[10]Detail!A15</f>
        <v>Kankakee</v>
      </c>
      <c r="B66" s="653">
        <f>[10]Detail!H15</f>
        <v>70</v>
      </c>
      <c r="C66" s="637">
        <f>((IF(D66=$D$3,$E$3,0)+IF(D66=$D$4,$E$4,0)+IF(D66=$D$5,$E$5,0)+IF(D66=$D$6,$E$6,0)+IF(D66=$D$7,$E$7,0)+IF(D66=$D$8,$E$8,0)+IF(D66=$D$9,$E$9,0)+IF(D66=$D$10,$E$10,0)+IF(D66=$D$11,$E$11,0)+IF(D66=$D$14,$E$14,0)+IF(D66=$D$13,$E$13,0))+(IF(E66=$D$3,$E$3,0)+IF(E66=$D$4,$E$4,0)+IF(E66=$D$5,$E$5,0)+IF(E66=$D$6,$E$6,0)+IF(E66=$D$7,$E$7,0)+IF(E66=$D$8,$E$8,0)+IF(E66=$D$9,$E$9,0)+IF(E66=$D$10,$E$10,0)+IF(E66=$D$11,$E$11,0)+IF(E66=$D$14,$E$14,0)+IF(E66=$D$13,$E$13,0))+(IF(F66=$D$3,$E$3,0)+IF(F66=$D$4,$E$4,0)+IF(F66=$D$5,$E$5,0)+IF(F66=$D$6,$E$6,0)+IF(F66=$D$7,$E$7,0)+IF(F66=$D$8,$E$8,0)+IF(F66=$D$9,$E$9,0)+IF(F66=$D$10,$E$10,0)+IF(F66=$D$11,$E$11,0)+IF(F66=$D$14,$E$14,0)+IF(F66=$D$13,$E$13,0))+(IF(G66=$D$3,$E$3,0)+IF(G66=$D$4,$E$4,0)+IF(G66=$D$5,$E$5,0)+IF(G66=$D$6,$E$6,0)+IF(G66=$D$7,$E$7,0)+IF(G66=$D$8,$E$8,0)+IF(G66=$D$9,$E$9,0)+IF(G66=$D$10,$E$10,0)+IF(G66=$D$11,$E$11,0)+IF(G66=$D$14,$E$14,0)+IF(G66=$D$13,$E$13,0)))/4</f>
        <v>1.0625</v>
      </c>
      <c r="D66" s="643" t="s">
        <v>821</v>
      </c>
      <c r="E66" s="641" t="s">
        <v>819</v>
      </c>
      <c r="F66" s="641" t="s">
        <v>819</v>
      </c>
      <c r="G66" s="642" t="s">
        <v>55</v>
      </c>
      <c r="H66" s="637">
        <f>((IF(I66=$D$3,$E$3,0)+IF(I66=$D$4,$E$4,0)+IF(I66=$D$5,$E$5,0)+IF(I66=$D$6,$E$6,0)+IF(I66=$D$7,$E$7,0)+IF(I66=$D$8,$E$8,0)+IF(I66=$D$9,$E$9,0)+IF(I66=$D$10,$E$10,0)+IF(I66=$D$11,$E$11,0)+IF(I66=$D$14,$E$14,0)+IF(I66=$D$13,$E$13,0))+(IF(J66=$D$3,$E$3,0)+IF(J66=$D$4,$E$4,0)+IF(J66=$D$5,$E$5,0)+IF(J66=$D$6,$E$6,0)+IF(J66=$D$7,$E$7,0)+IF(J66=$D$8,$E$8,0)+IF(J66=$D$9,$E$9,0)+IF(J66=$D$10,$E$10,0)+IF(J66=$D$11,$E$11,0)+IF(J66=$D$14,$E$14,0)+IF(J66=$D$13,$E$13,0))+(IF(K66=$D$3,$E$3,0)+IF(K66=$D$4,$E$4,0)+IF(K66=$D$5,$E$5,0)+IF(K66=$D$6,$E$6,0)+IF(K66=$D$7,$E$7,0)+IF(K66=$D$8,$E$8,0)+IF(K66=$D$9,$E$9,0)+IF(K66=$D$10,$E$10,0)+IF(K66=$D$11,$E$11,0)+IF(K66=$D$14,$E$14,0)+IF(K66=$D$13,$E$13,0))+(IF(L66=$D$3,$E$3,0)+IF(L66=$D$4,$E$4,0)+IF(L66=$D$5,$E$5,0)+IF(L66=$D$6,$E$6,0)+IF(L66=$D$7,$E$7,0)+IF(L66=$D$8,$E$8,0)+IF(L66=$D$9,$E$9,0)+IF(L66=$D$10,$E$10,0)+IF(L66=$D$11,$E$11,0)+IF(L66=$D$14,$E$14,0)+IF(L66=$D$13,$E$13,0)))/4</f>
        <v>0.5</v>
      </c>
      <c r="I66" s="639" t="s">
        <v>816</v>
      </c>
      <c r="J66" s="639" t="s">
        <v>816</v>
      </c>
      <c r="K66" s="639" t="s">
        <v>816</v>
      </c>
      <c r="L66" s="639" t="s">
        <v>816</v>
      </c>
    </row>
    <row r="67" spans="1:12">
      <c r="A67" s="2" t="str">
        <f>[10]Detail!A13</f>
        <v>Uptown Resyndication</v>
      </c>
      <c r="B67" s="635">
        <f>[10]Detail!H13</f>
        <v>529</v>
      </c>
      <c r="C67" s="637">
        <f>((IF(D67=$D$3,$E$3,0)+IF(D67=$D$4,$E$4,0)+IF(D67=$D$5,$E$5,0)+IF(D67=$D$6,$E$6,0)+IF(D67=$D$7,$E$7,0)+IF(D67=$D$8,$E$8,0)+IF(D67=$D$9,$E$9,0)+IF(D67=$D$10,$E$10,0)+IF(D67=$D$11,$E$11,0)+IF(D67=$D$14,$E$14,0)+IF(D67=$D$13,$E$13,0))+(IF(E67=$D$3,$E$3,0)+IF(E67=$D$4,$E$4,0)+IF(E67=$D$5,$E$5,0)+IF(E67=$D$6,$E$6,0)+IF(E67=$D$7,$E$7,0)+IF(E67=$D$8,$E$8,0)+IF(E67=$D$9,$E$9,0)+IF(E67=$D$10,$E$10,0)+IF(E67=$D$11,$E$11,0)+IF(E67=$D$14,$E$14,0)+IF(E67=$D$13,$E$13,0))+(IF(F67=$D$3,$E$3,0)+IF(F67=$D$4,$E$4,0)+IF(F67=$D$5,$E$5,0)+IF(F67=$D$6,$E$6,0)+IF(F67=$D$7,$E$7,0)+IF(F67=$D$8,$E$8,0)+IF(F67=$D$9,$E$9,0)+IF(F67=$D$10,$E$10,0)+IF(F67=$D$11,$E$11,0)+IF(F67=$D$14,$E$14,0)+IF(F67=$D$13,$E$13,0))+(IF(G67=$D$3,$E$3,0)+IF(G67=$D$4,$E$4,0)+IF(G67=$D$5,$E$5,0)+IF(G67=$D$6,$E$6,0)+IF(G67=$D$7,$E$7,0)+IF(G67=$D$8,$E$8,0)+IF(G67=$D$9,$E$9,0)+IF(G67=$D$10,$E$10,0)+IF(G67=$D$11,$E$11,0)+IF(G67=$D$14,$E$14,0)+IF(G67=$D$13,$E$13,0)))/4</f>
        <v>0.4375</v>
      </c>
      <c r="D67" s="640" t="s">
        <v>54</v>
      </c>
      <c r="E67" s="640" t="s">
        <v>54</v>
      </c>
      <c r="F67" s="640" t="s">
        <v>54</v>
      </c>
      <c r="G67" s="641" t="s">
        <v>819</v>
      </c>
      <c r="H67" s="637">
        <f>((IF(I67=$D$3,$E$3,0)+IF(I67=$D$4,$E$4,0)+IF(I67=$D$5,$E$5,0)+IF(I67=$D$6,$E$6,0)+IF(I67=$D$7,$E$7,0)+IF(I67=$D$8,$E$8,0)+IF(I67=$D$9,$E$9,0)+IF(I67=$D$10,$E$10,0)+IF(I67=$D$11,$E$11,0)+IF(I67=$D$14,$E$14,0)+IF(I67=$D$13,$E$13,0))+(IF(J67=$D$3,$E$3,0)+IF(J67=$D$4,$E$4,0)+IF(J67=$D$5,$E$5,0)+IF(J67=$D$6,$E$6,0)+IF(J67=$D$7,$E$7,0)+IF(J67=$D$8,$E$8,0)+IF(J67=$D$9,$E$9,0)+IF(J67=$D$10,$E$10,0)+IF(J67=$D$11,$E$11,0)+IF(J67=$D$14,$E$14,0)+IF(J67=$D$13,$E$13,0))+(IF(K67=$D$3,$E$3,0)+IF(K67=$D$4,$E$4,0)+IF(K67=$D$5,$E$5,0)+IF(K67=$D$6,$E$6,0)+IF(K67=$D$7,$E$7,0)+IF(K67=$D$8,$E$8,0)+IF(K67=$D$9,$E$9,0)+IF(K67=$D$10,$E$10,0)+IF(K67=$D$11,$E$11,0)+IF(K67=$D$14,$E$14,0)+IF(K67=$D$13,$E$13,0))+(IF(L67=$D$3,$E$3,0)+IF(L67=$D$4,$E$4,0)+IF(L67=$D$5,$E$5,0)+IF(L67=$D$6,$E$6,0)+IF(L67=$D$7,$E$7,0)+IF(L67=$D$8,$E$8,0)+IF(L67=$D$9,$E$9,0)+IF(L67=$D$10,$E$10,0)+IF(L67=$D$11,$E$11,0)+IF(L67=$D$14,$E$14,0)+IF(L67=$D$13,$E$13,0)))/4</f>
        <v>1.0625</v>
      </c>
      <c r="I67" s="643" t="s">
        <v>821</v>
      </c>
      <c r="J67" s="641" t="s">
        <v>819</v>
      </c>
      <c r="K67" s="641" t="s">
        <v>819</v>
      </c>
      <c r="L67" s="642" t="s">
        <v>55</v>
      </c>
    </row>
    <row r="68" spans="1:12">
      <c r="A68" s="2" t="s">
        <v>829</v>
      </c>
      <c r="B68" s="635"/>
      <c r="C68" s="637">
        <f>((IF(D68=$D$3,$E$3,0)+IF(D68=$D$4,$E$4,0)+IF(D68=$D$5,$E$5,0)+IF(D68=$D$6,$E$6,0)+IF(D68=$D$7,$E$7,0)+IF(D68=$D$8,$E$8,0)+IF(D68=$D$9,$E$9,0)+IF(D68=$D$10,$E$10,0)+IF(D68=$D$11,$E$11,0)+IF(D68=$D$14,$E$14,0)+IF(D68=$D$13,$E$13,0))+(IF(E68=$D$3,$E$3,0)+IF(E68=$D$4,$E$4,0)+IF(E68=$D$5,$E$5,0)+IF(E68=$D$6,$E$6,0)+IF(E68=$D$7,$E$7,0)+IF(E68=$D$8,$E$8,0)+IF(E68=$D$9,$E$9,0)+IF(E68=$D$10,$E$10,0)+IF(E68=$D$11,$E$11,0)+IF(E68=$D$14,$E$14,0)+IF(E68=$D$13,$E$13,0))+(IF(F68=$D$3,$E$3,0)+IF(F68=$D$4,$E$4,0)+IF(F68=$D$5,$E$5,0)+IF(F68=$D$6,$E$6,0)+IF(F68=$D$7,$E$7,0)+IF(F68=$D$8,$E$8,0)+IF(F68=$D$9,$E$9,0)+IF(F68=$D$10,$E$10,0)+IF(F68=$D$11,$E$11,0)+IF(F68=$D$14,$E$14,0)+IF(F68=$D$13,$E$13,0))+(IF(G68=$D$3,$E$3,0)+IF(G68=$D$4,$E$4,0)+IF(G68=$D$5,$E$5,0)+IF(G68=$D$6,$E$6,0)+IF(G68=$D$7,$E$7,0)+IF(G68=$D$8,$E$8,0)+IF(G68=$D$9,$E$9,0)+IF(G68=$D$10,$E$10,0)+IF(G68=$D$11,$E$11,0)+IF(G68=$D$14,$E$14,0)+IF(G68=$D$13,$E$13,0)))/4</f>
        <v>0.4375</v>
      </c>
      <c r="D68" s="644" t="s">
        <v>822</v>
      </c>
      <c r="E68" s="652" t="s">
        <v>828</v>
      </c>
      <c r="F68" s="642" t="s">
        <v>55</v>
      </c>
      <c r="G68" s="652" t="s">
        <v>828</v>
      </c>
      <c r="H68" s="637"/>
      <c r="I68" s="643"/>
      <c r="J68" s="641"/>
      <c r="K68" s="641"/>
      <c r="L68" s="642"/>
    </row>
    <row r="69" spans="1:12">
      <c r="B69" s="301"/>
      <c r="H69" s="637"/>
    </row>
    <row r="70" spans="1:12">
      <c r="A70" s="2" t="s">
        <v>35</v>
      </c>
      <c r="B70" s="635">
        <f>SUM(B66:B69)</f>
        <v>599</v>
      </c>
      <c r="C70" s="631">
        <f>SUM(C66:C69)</f>
        <v>1.9375</v>
      </c>
      <c r="H70" s="631">
        <f>SUM(H66:H69)</f>
        <v>1.5625</v>
      </c>
    </row>
    <row r="71" spans="1:12">
      <c r="A71" s="2" t="s">
        <v>812</v>
      </c>
      <c r="B71" s="632"/>
      <c r="C71" s="631">
        <f>((40*52)/12)*(C70/4)</f>
        <v>83.958333333333343</v>
      </c>
      <c r="H71" s="631">
        <f>((40*52)/12)*(H70/4)</f>
        <v>67.708333333333343</v>
      </c>
    </row>
    <row r="72" spans="1:12">
      <c r="A72" s="2" t="s">
        <v>811</v>
      </c>
      <c r="B72" s="632"/>
      <c r="C72" s="631">
        <f>C70/$J$3</f>
        <v>0.77500000000000002</v>
      </c>
      <c r="D72" s="635"/>
      <c r="E72" s="635"/>
      <c r="F72" s="635"/>
      <c r="G72" s="635"/>
      <c r="H72" s="631">
        <f>H70/$J$3</f>
        <v>0.625</v>
      </c>
      <c r="I72" s="635"/>
    </row>
    <row r="73" spans="1:12">
      <c r="A73" s="2" t="s">
        <v>810</v>
      </c>
      <c r="B73" s="632"/>
      <c r="C73" s="631">
        <v>1</v>
      </c>
      <c r="D73" s="635"/>
      <c r="E73" s="635"/>
      <c r="F73" s="635"/>
      <c r="G73" s="635"/>
      <c r="H73" s="631">
        <v>1</v>
      </c>
      <c r="I73" s="635"/>
    </row>
    <row r="74" spans="1:12">
      <c r="A74" s="2" t="s">
        <v>809</v>
      </c>
      <c r="B74" s="632"/>
      <c r="C74" s="630">
        <f>100%-C72/C73</f>
        <v>0.22499999999999998</v>
      </c>
      <c r="D74" s="635"/>
      <c r="E74" s="635"/>
      <c r="F74" s="635"/>
      <c r="G74" s="635"/>
      <c r="H74" s="636">
        <f>100%-H72/H73</f>
        <v>0.375</v>
      </c>
      <c r="I74" s="635"/>
    </row>
    <row r="75" spans="1:12" ht="16" thickBot="1">
      <c r="B75" s="632"/>
      <c r="C75" s="630"/>
      <c r="D75" s="635"/>
      <c r="E75" s="635"/>
      <c r="F75" s="635"/>
      <c r="G75" s="635"/>
      <c r="H75" s="636"/>
      <c r="I75" s="635"/>
    </row>
    <row r="76" spans="1:12" ht="16" thickBot="1">
      <c r="A76" s="651" t="s">
        <v>827</v>
      </c>
      <c r="H76" s="637"/>
    </row>
    <row r="77" spans="1:12">
      <c r="A77" s="2" t="str">
        <f>[10]Detail!A10</f>
        <v>Pullman Wheelworks</v>
      </c>
      <c r="B77" s="635">
        <f>[10]Detail!H10</f>
        <v>210</v>
      </c>
      <c r="C77" s="637">
        <f>((IF(D77=$D$3,$E$3,0)+IF(D77=$D$4,$E$4,0)+IF(D77=$D$5,$E$5,0)+IF(D77=$D$6,$E$6,0)+IF(D77=$D$7,$E$7,0)+IF(D77=$D$8,$E$8,0)+IF(D77=$D$9,$E$9,0)+IF(D77=$D$10,$E$10,0)+IF(D77=$D$11,$E$11,0)+IF(D77=$D$14,$E$14,0)+IF(D77=$D$13,$E$13,0))+(IF(E77=$D$3,$E$3,0)+IF(E77=$D$4,$E$4,0)+IF(E77=$D$5,$E$5,0)+IF(E77=$D$6,$E$6,0)+IF(E77=$D$7,$E$7,0)+IF(E77=$D$8,$E$8,0)+IF(E77=$D$9,$E$9,0)+IF(E77=$D$10,$E$10,0)+IF(E77=$D$11,$E$11,0)+IF(E77=$D$14,$E$14,0)+IF(E77=$D$13,$E$13,0))+(IF(F77=$D$3,$E$3,0)+IF(F77=$D$4,$E$4,0)+IF(F77=$D$5,$E$5,0)+IF(F77=$D$6,$E$6,0)+IF(F77=$D$7,$E$7,0)+IF(F77=$D$8,$E$8,0)+IF(F77=$D$9,$E$9,0)+IF(F77=$D$10,$E$10,0)+IF(F77=$D$11,$E$11,0)+IF(F77=$D$14,$E$14,0)+IF(F77=$D$13,$E$13,0))+(IF(G77=$D$3,$E$3,0)+IF(G77=$D$4,$E$4,0)+IF(G77=$D$5,$E$5,0)+IF(G77=$D$6,$E$6,0)+IF(G77=$D$7,$E$7,0)+IF(G77=$D$8,$E$8,0)+IF(G77=$D$9,$E$9,0)+IF(G77=$D$10,$E$10,0)+IF(G77=$D$11,$E$11,0)+IF(G77=$D$14,$E$14,0)+IF(G77=$D$13,$E$13,0)))/4</f>
        <v>0.5625</v>
      </c>
      <c r="D77" s="640" t="s">
        <v>54</v>
      </c>
      <c r="E77" s="644" t="s">
        <v>822</v>
      </c>
      <c r="F77" s="641" t="s">
        <v>819</v>
      </c>
      <c r="G77" s="641" t="s">
        <v>819</v>
      </c>
      <c r="H77" s="637">
        <f>((IF(I77=$D$3,$E$3,0)+IF(I77=$D$4,$E$4,0)+IF(I77=$D$5,$E$5,0)+IF(I77=$D$6,$E$6,0)+IF(I77=$D$7,$E$7,0)+IF(I77=$D$8,$E$8,0)+IF(I77=$D$9,$E$9,0)+IF(I77=$D$10,$E$10,0)+IF(I77=$D$11,$E$11,0)+IF(I77=$D$14,$E$14,0)+IF(I77=$D$13,$E$13,0))+(IF(J77=$D$3,$E$3,0)+IF(J77=$D$4,$E$4,0)+IF(J77=$D$5,$E$5,0)+IF(J77=$D$6,$E$6,0)+IF(J77=$D$7,$E$7,0)+IF(J77=$D$8,$E$8,0)+IF(J77=$D$9,$E$9,0)+IF(J77=$D$10,$E$10,0)+IF(J77=$D$11,$E$11,0)+IF(J77=$D$14,$E$14,0)+IF(J77=$D$13,$E$13,0))+(IF(K77=$D$3,$E$3,0)+IF(K77=$D$4,$E$4,0)+IF(K77=$D$5,$E$5,0)+IF(K77=$D$6,$E$6,0)+IF(K77=$D$7,$E$7,0)+IF(K77=$D$8,$E$8,0)+IF(K77=$D$9,$E$9,0)+IF(K77=$D$10,$E$10,0)+IF(K77=$D$11,$E$11,0)+IF(K77=$D$14,$E$14,0)+IF(K77=$D$13,$E$13,0))+(IF(L77=$D$3,$E$3,0)+IF(L77=$D$4,$E$4,0)+IF(L77=$D$5,$E$5,0)+IF(L77=$D$6,$E$6,0)+IF(L77=$D$7,$E$7,0)+IF(L77=$D$8,$E$8,0)+IF(L77=$D$9,$E$9,0)+IF(L77=$D$10,$E$10,0)+IF(L77=$D$11,$E$11,0)+IF(L77=$D$14,$E$14,0)+IF(L77=$D$13,$E$13,0)))/4</f>
        <v>0.8125</v>
      </c>
      <c r="I77" s="643" t="s">
        <v>821</v>
      </c>
      <c r="J77" s="642" t="s">
        <v>55</v>
      </c>
      <c r="K77" s="639" t="s">
        <v>816</v>
      </c>
      <c r="L77" s="639" t="s">
        <v>816</v>
      </c>
    </row>
    <row r="78" spans="1:12">
      <c r="A78" s="2" t="e">
        <f>[10]Detail!#REF!</f>
        <v>#REF!</v>
      </c>
      <c r="B78" s="635" t="e">
        <f>[10]Detail!#REF!</f>
        <v>#REF!</v>
      </c>
      <c r="C78" s="637">
        <f>((IF(D78=$D$3,$E$3,0)+IF(D78=$D$4,$E$4,0)+IF(D78=$D$5,$E$5,0)+IF(D78=$D$6,$E$6,0)+IF(D78=$D$7,$E$7,0)+IF(D78=$D$8,$E$8,0)+IF(D78=$D$9,$E$9,0)+IF(D78=$D$10,$E$10,0)+IF(D78=$D$11,$E$11,0)+IF(D78=$D$14,$E$14,0)+IF(D78=$D$13,$E$13,0))+(IF(E78=$D$3,$E$3,0)+IF(E78=$D$4,$E$4,0)+IF(E78=$D$5,$E$5,0)+IF(E78=$D$6,$E$6,0)+IF(E78=$D$7,$E$7,0)+IF(E78=$D$8,$E$8,0)+IF(E78=$D$9,$E$9,0)+IF(E78=$D$10,$E$10,0)+IF(E78=$D$11,$E$11,0)+IF(E78=$D$14,$E$14,0)+IF(E78=$D$13,$E$13,0))+(IF(F78=$D$3,$E$3,0)+IF(F78=$D$4,$E$4,0)+IF(F78=$D$5,$E$5,0)+IF(F78=$D$6,$E$6,0)+IF(F78=$D$7,$E$7,0)+IF(F78=$D$8,$E$8,0)+IF(F78=$D$9,$E$9,0)+IF(F78=$D$10,$E$10,0)+IF(F78=$D$11,$E$11,0)+IF(F78=$D$14,$E$14,0)+IF(F78=$D$13,$E$13,0))+(IF(G78=$D$3,$E$3,0)+IF(G78=$D$4,$E$4,0)+IF(G78=$D$5,$E$5,0)+IF(G78=$D$6,$E$6,0)+IF(G78=$D$7,$E$7,0)+IF(G78=$D$8,$E$8,0)+IF(G78=$D$9,$E$9,0)+IF(G78=$D$10,$E$10,0)+IF(G78=$D$11,$E$11,0)+IF(G78=$D$14,$E$14,0)+IF(G78=$D$13,$E$13,0)))/4</f>
        <v>0</v>
      </c>
      <c r="D78" s="644" t="s">
        <v>822</v>
      </c>
      <c r="E78" s="644" t="s">
        <v>822</v>
      </c>
      <c r="F78" s="644" t="s">
        <v>822</v>
      </c>
      <c r="G78" s="644" t="s">
        <v>822</v>
      </c>
      <c r="H78" s="637">
        <f>((IF(I78=$D$3,$E$3,0)+IF(I78=$D$4,$E$4,0)+IF(I78=$D$5,$E$5,0)+IF(I78=$D$6,$E$6,0)+IF(I78=$D$7,$E$7,0)+IF(I78=$D$8,$E$8,0)+IF(I78=$D$9,$E$9,0)+IF(I78=$D$10,$E$10,0)+IF(I78=$D$11,$E$11,0)+IF(I78=$D$14,$E$14,0)+IF(I78=$D$13,$E$13,0))+(IF(J78=$D$3,$E$3,0)+IF(J78=$D$4,$E$4,0)+IF(J78=$D$5,$E$5,0)+IF(J78=$D$6,$E$6,0)+IF(J78=$D$7,$E$7,0)+IF(J78=$D$8,$E$8,0)+IF(J78=$D$9,$E$9,0)+IF(J78=$D$10,$E$10,0)+IF(J78=$D$11,$E$11,0)+IF(J78=$D$14,$E$14,0)+IF(J78=$D$13,$E$13,0))+(IF(K78=$D$3,$E$3,0)+IF(K78=$D$4,$E$4,0)+IF(K78=$D$5,$E$5,0)+IF(K78=$D$6,$E$6,0)+IF(K78=$D$7,$E$7,0)+IF(K78=$D$8,$E$8,0)+IF(K78=$D$9,$E$9,0)+IF(K78=$D$10,$E$10,0)+IF(K78=$D$11,$E$11,0)+IF(K78=$D$14,$E$14,0)+IF(K78=$D$13,$E$13,0))+(IF(L78=$D$3,$E$3,0)+IF(L78=$D$4,$E$4,0)+IF(L78=$D$5,$E$5,0)+IF(L78=$D$6,$E$6,0)+IF(L78=$D$7,$E$7,0)+IF(L78=$D$8,$E$8,0)+IF(L78=$D$9,$E$9,0)+IF(L78=$D$10,$E$10,0)+IF(L78=$D$11,$E$11,0)+IF(L78=$D$14,$E$14,0)+IF(L78=$D$13,$E$13,0)))/4</f>
        <v>0</v>
      </c>
      <c r="I78" s="644" t="s">
        <v>822</v>
      </c>
      <c r="J78" s="644" t="s">
        <v>822</v>
      </c>
      <c r="K78" s="644" t="s">
        <v>822</v>
      </c>
      <c r="L78" s="644" t="s">
        <v>822</v>
      </c>
    </row>
    <row r="79" spans="1:12">
      <c r="A79" s="645" t="s">
        <v>826</v>
      </c>
      <c r="B79" s="635">
        <f>[10]Detail!H45</f>
        <v>315</v>
      </c>
      <c r="C79" s="637">
        <f>((IF(D79=$D$3,$E$3,0)+IF(D79=$D$4,$E$4,0)+IF(D79=$D$5,$E$5,0)+IF(D79=$D$6,$E$6,0)+IF(D79=$D$7,$E$7,0)+IF(D79=$D$8,$E$8,0)+IF(D79=$D$9,$E$9,0)+IF(D79=$D$10,$E$10,0)+IF(D79=$D$11,$E$11,0)+IF(D79=$D$14,$E$14,0)+IF(D79=$D$13,$E$13,0))+(IF(E79=$D$3,$E$3,0)+IF(E79=$D$4,$E$4,0)+IF(E79=$D$5,$E$5,0)+IF(E79=$D$6,$E$6,0)+IF(E79=$D$7,$E$7,0)+IF(E79=$D$8,$E$8,0)+IF(E79=$D$9,$E$9,0)+IF(E79=$D$10,$E$10,0)+IF(E79=$D$11,$E$11,0)+IF(E79=$D$14,$E$14,0)+IF(E79=$D$13,$E$13,0))+(IF(F79=$D$3,$E$3,0)+IF(F79=$D$4,$E$4,0)+IF(F79=$D$5,$E$5,0)+IF(F79=$D$6,$E$6,0)+IF(F79=$D$7,$E$7,0)+IF(F79=$D$8,$E$8,0)+IF(F79=$D$9,$E$9,0)+IF(F79=$D$10,$E$10,0)+IF(F79=$D$11,$E$11,0)+IF(F79=$D$14,$E$14,0)+IF(F79=$D$13,$E$13,0))+(IF(G79=$D$3,$E$3,0)+IF(G79=$D$4,$E$4,0)+IF(G79=$D$5,$E$5,0)+IF(G79=$D$6,$E$6,0)+IF(G79=$D$7,$E$7,0)+IF(G79=$D$8,$E$8,0)+IF(G79=$D$9,$E$9,0)+IF(G79=$D$10,$E$10,0)+IF(G79=$D$11,$E$11,0)+IF(G79=$D$14,$E$14,0)+IF(G79=$D$13,$E$13,0)))/4</f>
        <v>0.875</v>
      </c>
      <c r="D79" s="640" t="s">
        <v>54</v>
      </c>
      <c r="E79" s="641" t="s">
        <v>819</v>
      </c>
      <c r="F79" s="643" t="s">
        <v>821</v>
      </c>
      <c r="G79" s="642" t="s">
        <v>55</v>
      </c>
      <c r="H79" s="637">
        <f>((IF(I79=$D$3,$E$3,0)+IF(I79=$D$4,$E$4,0)+IF(I79=$D$5,$E$5,0)+IF(I79=$D$6,$E$6,0)+IF(I79=$D$7,$E$7,0)+IF(I79=$D$8,$E$8,0)+IF(I79=$D$9,$E$9,0)+IF(I79=$D$10,$E$10,0)+IF(I79=$D$11,$E$11,0)+IF(I79=$D$14,$E$14,0)+IF(I79=$D$13,$E$13,0))+(IF(J79=$D$3,$E$3,0)+IF(J79=$D$4,$E$4,0)+IF(J79=$D$5,$E$5,0)+IF(J79=$D$6,$E$6,0)+IF(J79=$D$7,$E$7,0)+IF(J79=$D$8,$E$8,0)+IF(J79=$D$9,$E$9,0)+IF(J79=$D$10,$E$10,0)+IF(J79=$D$11,$E$11,0)+IF(J79=$D$14,$E$14,0)+IF(J79=$D$13,$E$13,0))+(IF(K79=$D$3,$E$3,0)+IF(K79=$D$4,$E$4,0)+IF(K79=$D$5,$E$5,0)+IF(K79=$D$6,$E$6,0)+IF(K79=$D$7,$E$7,0)+IF(K79=$D$8,$E$8,0)+IF(K79=$D$9,$E$9,0)+IF(K79=$D$10,$E$10,0)+IF(K79=$D$11,$E$11,0)+IF(K79=$D$14,$E$14,0)+IF(K79=$D$13,$E$13,0))+(IF(L79=$D$3,$E$3,0)+IF(L79=$D$4,$E$4,0)+IF(L79=$D$5,$E$5,0)+IF(L79=$D$6,$E$6,0)+IF(L79=$D$7,$E$7,0)+IF(L79=$D$8,$E$8,0)+IF(L79=$D$9,$E$9,0)+IF(L79=$D$10,$E$10,0)+IF(L79=$D$11,$E$11,0)+IF(L79=$D$14,$E$14,0)+IF(L79=$D$13,$E$13,0)))/4</f>
        <v>0.5</v>
      </c>
      <c r="I79" s="639" t="s">
        <v>816</v>
      </c>
      <c r="J79" s="639" t="s">
        <v>816</v>
      </c>
      <c r="K79" s="639" t="s">
        <v>816</v>
      </c>
      <c r="L79" s="639" t="s">
        <v>816</v>
      </c>
    </row>
    <row r="80" spans="1:12">
      <c r="B80" s="301"/>
      <c r="H80" s="637"/>
    </row>
    <row r="81" spans="1:12">
      <c r="A81" s="2" t="s">
        <v>35</v>
      </c>
      <c r="B81" s="635" t="e">
        <f>SUM(B77:B80)</f>
        <v>#REF!</v>
      </c>
      <c r="C81" s="631">
        <f>SUM(C77:C80)</f>
        <v>1.4375</v>
      </c>
      <c r="H81" s="631">
        <f>SUM(H77:H80)</f>
        <v>1.3125</v>
      </c>
    </row>
    <row r="82" spans="1:12">
      <c r="A82" s="2" t="s">
        <v>812</v>
      </c>
      <c r="B82" s="632"/>
      <c r="C82" s="631">
        <f>((40*52)/12)*(C81/4)</f>
        <v>62.291666666666671</v>
      </c>
      <c r="H82" s="631">
        <f>((40*52)/12)*(H81/4)</f>
        <v>56.875</v>
      </c>
    </row>
    <row r="83" spans="1:12">
      <c r="A83" s="2" t="s">
        <v>811</v>
      </c>
      <c r="B83" s="632"/>
      <c r="C83" s="631">
        <f>C81/$J$3</f>
        <v>0.57499999999999996</v>
      </c>
      <c r="D83" s="635"/>
      <c r="E83" s="635"/>
      <c r="F83" s="635"/>
      <c r="G83" s="635"/>
      <c r="H83" s="631">
        <f>H81/$J$3</f>
        <v>0.52500000000000002</v>
      </c>
      <c r="I83" s="635"/>
    </row>
    <row r="84" spans="1:12">
      <c r="A84" s="2" t="s">
        <v>810</v>
      </c>
      <c r="B84" s="632"/>
      <c r="C84" s="631">
        <f>C83</f>
        <v>0.57499999999999996</v>
      </c>
      <c r="D84" s="635"/>
      <c r="E84" s="635"/>
      <c r="F84" s="635"/>
      <c r="G84" s="635"/>
      <c r="H84" s="631">
        <f>H83</f>
        <v>0.52500000000000002</v>
      </c>
      <c r="I84" s="635"/>
    </row>
    <row r="85" spans="1:12">
      <c r="A85" s="2" t="s">
        <v>809</v>
      </c>
      <c r="B85" s="632"/>
      <c r="C85" s="630">
        <f>100%-C83/C84</f>
        <v>0</v>
      </c>
      <c r="D85" s="635"/>
      <c r="E85" s="635"/>
      <c r="F85" s="635"/>
      <c r="G85" s="635"/>
      <c r="H85" s="636">
        <f>100%-H83/H84</f>
        <v>0</v>
      </c>
      <c r="I85" s="635"/>
    </row>
    <row r="86" spans="1:12" ht="16" thickBot="1">
      <c r="C86" s="631"/>
      <c r="H86" s="631"/>
    </row>
    <row r="87" spans="1:12" ht="16" thickBot="1">
      <c r="A87" s="650" t="s">
        <v>492</v>
      </c>
      <c r="H87" s="637"/>
    </row>
    <row r="88" spans="1:12">
      <c r="A88" s="645" t="str">
        <f>A107</f>
        <v>Countryside Senior Apts</v>
      </c>
      <c r="B88" s="635">
        <v>0</v>
      </c>
      <c r="C88" s="637">
        <f t="shared" ref="C88:C97" si="8">((IF(D88=$D$3,$E$3,0)+IF(D88=$D$4,$E$4,0)+IF(D88=$D$5,$E$5,0)+IF(D88=$D$6,$E$6,0)+IF(D88=$D$7,$E$7,0)+IF(D88=$D$8,$E$8,0)+IF(D88=$D$9,$E$9,0)+IF(D88=$D$10,$E$10,0)+IF(D88=$D$11,$E$11,0)+IF(D88=$D$14,$E$14,0)+IF(D88=$D$13,$E$13,0))+(IF(E88=$D$3,$E$3,0)+IF(E88=$D$4,$E$4,0)+IF(E88=$D$5,$E$5,0)+IF(E88=$D$6,$E$6,0)+IF(E88=$D$7,$E$7,0)+IF(E88=$D$8,$E$8,0)+IF(E88=$D$9,$E$9,0)+IF(E88=$D$10,$E$10,0)+IF(E88=$D$11,$E$11,0)+IF(E88=$D$14,$E$14,0)+IF(E88=$D$13,$E$13,0))+(IF(F88=$D$3,$E$3,0)+IF(F88=$D$4,$E$4,0)+IF(F88=$D$5,$E$5,0)+IF(F88=$D$6,$E$6,0)+IF(F88=$D$7,$E$7,0)+IF(F88=$D$8,$E$8,0)+IF(F88=$D$9,$E$9,0)+IF(F88=$D$10,$E$10,0)+IF(F88=$D$11,$E$11,0)+IF(F88=$D$14,$E$14,0)+IF(F88=$D$13,$E$13,0))+(IF(G88=$D$3,$E$3,0)+IF(G88=$D$4,$E$4,0)+IF(G88=$D$5,$E$5,0)+IF(G88=$D$6,$E$6,0)+IF(G88=$D$7,$E$7,0)+IF(G88=$D$8,$E$8,0)+IF(G88=$D$9,$E$9,0)+IF(G88=$D$10,$E$10,0)+IF(G88=$D$11,$E$11,0)+IF(G88=$D$14,$E$14,0)+IF(G88=$D$13,$E$13,0)))/4</f>
        <v>0.125</v>
      </c>
      <c r="D88" s="649" t="s">
        <v>825</v>
      </c>
      <c r="E88" s="649" t="s">
        <v>825</v>
      </c>
      <c r="F88" s="644" t="s">
        <v>822</v>
      </c>
      <c r="G88" s="644" t="s">
        <v>822</v>
      </c>
      <c r="H88" s="637">
        <f t="shared" ref="H88:H97" si="9">((IF(I88=$D$3,$E$3,0)+IF(I88=$D$4,$E$4,0)+IF(I88=$D$5,$E$5,0)+IF(I88=$D$6,$E$6,0)+IF(I88=$D$7,$E$7,0)+IF(I88=$D$8,$E$8,0)+IF(I88=$D$9,$E$9,0)+IF(I88=$D$10,$E$10,0)+IF(I88=$D$11,$E$11,0)+IF(I88=$D$14,$E$14,0)+IF(I88=$D$13,$E$13,0))+(IF(J88=$D$3,$E$3,0)+IF(J88=$D$4,$E$4,0)+IF(J88=$D$5,$E$5,0)+IF(J88=$D$6,$E$6,0)+IF(J88=$D$7,$E$7,0)+IF(J88=$D$8,$E$8,0)+IF(J88=$D$9,$E$9,0)+IF(J88=$D$10,$E$10,0)+IF(J88=$D$11,$E$11,0)+IF(J88=$D$14,$E$14,0)+IF(J88=$D$13,$E$13,0))+(IF(K88=$D$3,$E$3,0)+IF(K88=$D$4,$E$4,0)+IF(K88=$D$5,$E$5,0)+IF(K88=$D$6,$E$6,0)+IF(K88=$D$7,$E$7,0)+IF(K88=$D$8,$E$8,0)+IF(K88=$D$9,$E$9,0)+IF(K88=$D$10,$E$10,0)+IF(K88=$D$11,$E$11,0)+IF(K88=$D$14,$E$14,0)+IF(K88=$D$13,$E$13,0))+(IF(L88=$D$3,$E$3,0)+IF(L88=$D$4,$E$4,0)+IF(L88=$D$5,$E$5,0)+IF(L88=$D$6,$E$6,0)+IF(L88=$D$7,$E$7,0)+IF(L88=$D$8,$E$8,0)+IF(L88=$D$9,$E$9,0)+IF(L88=$D$10,$E$10,0)+IF(L88=$D$11,$E$11,0)+IF(L88=$D$14,$E$14,0)+IF(L88=$D$13,$E$13,0)))/4</f>
        <v>0</v>
      </c>
      <c r="I88" s="644" t="s">
        <v>822</v>
      </c>
      <c r="J88" s="644" t="s">
        <v>822</v>
      </c>
      <c r="K88" s="644" t="s">
        <v>822</v>
      </c>
      <c r="L88" s="644" t="s">
        <v>822</v>
      </c>
    </row>
    <row r="89" spans="1:12">
      <c r="A89" s="645" t="str">
        <f>A52</f>
        <v>Johnston Center</v>
      </c>
      <c r="B89" s="635">
        <v>0</v>
      </c>
      <c r="C89" s="637">
        <f t="shared" si="8"/>
        <v>0.1875</v>
      </c>
      <c r="D89" s="649" t="s">
        <v>825</v>
      </c>
      <c r="E89" s="649" t="s">
        <v>825</v>
      </c>
      <c r="F89" s="649" t="s">
        <v>825</v>
      </c>
      <c r="G89" s="644" t="s">
        <v>822</v>
      </c>
      <c r="H89" s="637">
        <f t="shared" si="9"/>
        <v>0</v>
      </c>
      <c r="I89" s="644" t="s">
        <v>822</v>
      </c>
      <c r="J89" s="644" t="s">
        <v>822</v>
      </c>
      <c r="K89" s="644" t="s">
        <v>822</v>
      </c>
      <c r="L89" s="644" t="s">
        <v>822</v>
      </c>
    </row>
    <row r="90" spans="1:12">
      <c r="A90" s="645" t="str">
        <f>A38</f>
        <v>Roseland Place</v>
      </c>
      <c r="B90" s="635">
        <v>0</v>
      </c>
      <c r="C90" s="637">
        <f t="shared" si="8"/>
        <v>0.25</v>
      </c>
      <c r="D90" s="649" t="s">
        <v>825</v>
      </c>
      <c r="E90" s="649" t="s">
        <v>825</v>
      </c>
      <c r="F90" s="649" t="s">
        <v>825</v>
      </c>
      <c r="G90" s="649" t="s">
        <v>825</v>
      </c>
      <c r="H90" s="637">
        <f t="shared" si="9"/>
        <v>0</v>
      </c>
      <c r="I90" s="644" t="s">
        <v>822</v>
      </c>
      <c r="J90" s="644" t="s">
        <v>822</v>
      </c>
      <c r="K90" s="644" t="s">
        <v>822</v>
      </c>
      <c r="L90" s="644" t="s">
        <v>822</v>
      </c>
    </row>
    <row r="91" spans="1:12">
      <c r="A91" s="645" t="s">
        <v>51</v>
      </c>
      <c r="B91" s="635">
        <v>60</v>
      </c>
      <c r="C91" s="637">
        <f t="shared" si="8"/>
        <v>0.5</v>
      </c>
      <c r="D91" s="639" t="s">
        <v>816</v>
      </c>
      <c r="E91" s="639" t="s">
        <v>816</v>
      </c>
      <c r="F91" s="639" t="s">
        <v>816</v>
      </c>
      <c r="G91" s="639" t="s">
        <v>816</v>
      </c>
      <c r="H91" s="637">
        <f t="shared" si="9"/>
        <v>0.3125</v>
      </c>
      <c r="I91" s="639" t="s">
        <v>816</v>
      </c>
      <c r="J91" s="647" t="s">
        <v>823</v>
      </c>
      <c r="K91" s="647" t="s">
        <v>823</v>
      </c>
      <c r="L91" s="647" t="s">
        <v>823</v>
      </c>
    </row>
    <row r="92" spans="1:12">
      <c r="A92" s="645" t="str">
        <f>A20</f>
        <v>Uptown Bond (HWA)</v>
      </c>
      <c r="B92" s="635">
        <v>0</v>
      </c>
      <c r="C92" s="637">
        <f t="shared" si="8"/>
        <v>0.1875</v>
      </c>
      <c r="D92" s="644" t="s">
        <v>822</v>
      </c>
      <c r="E92" s="649" t="s">
        <v>825</v>
      </c>
      <c r="F92" s="649" t="s">
        <v>825</v>
      </c>
      <c r="G92" s="649" t="s">
        <v>825</v>
      </c>
      <c r="H92" s="637">
        <f t="shared" si="9"/>
        <v>0.25</v>
      </c>
      <c r="I92" s="649" t="s">
        <v>825</v>
      </c>
      <c r="J92" s="649" t="s">
        <v>825</v>
      </c>
      <c r="K92" s="649" t="s">
        <v>825</v>
      </c>
      <c r="L92" s="649" t="s">
        <v>825</v>
      </c>
    </row>
    <row r="93" spans="1:12">
      <c r="A93" s="7" t="str">
        <f>A21</f>
        <v>Malden Arms</v>
      </c>
      <c r="B93" s="635">
        <v>0</v>
      </c>
      <c r="C93" s="637">
        <f t="shared" si="8"/>
        <v>6.25E-2</v>
      </c>
      <c r="D93" s="644" t="s">
        <v>822</v>
      </c>
      <c r="E93" s="644" t="s">
        <v>822</v>
      </c>
      <c r="F93" s="644" t="s">
        <v>822</v>
      </c>
      <c r="G93" s="649" t="s">
        <v>825</v>
      </c>
      <c r="H93" s="637">
        <f t="shared" si="9"/>
        <v>0.25</v>
      </c>
      <c r="I93" s="649" t="s">
        <v>825</v>
      </c>
      <c r="J93" s="649" t="s">
        <v>825</v>
      </c>
      <c r="K93" s="649" t="s">
        <v>825</v>
      </c>
      <c r="L93" s="649" t="s">
        <v>825</v>
      </c>
    </row>
    <row r="94" spans="1:12">
      <c r="A94" s="7" t="str">
        <f>A24</f>
        <v>Keating Building (Phase 1A)</v>
      </c>
      <c r="B94" s="635">
        <v>0</v>
      </c>
      <c r="C94" s="637">
        <f t="shared" si="8"/>
        <v>6.25E-2</v>
      </c>
      <c r="D94" s="644" t="s">
        <v>822</v>
      </c>
      <c r="E94" s="644" t="s">
        <v>822</v>
      </c>
      <c r="F94" s="644" t="s">
        <v>822</v>
      </c>
      <c r="G94" s="649" t="s">
        <v>825</v>
      </c>
      <c r="H94" s="637">
        <f t="shared" si="9"/>
        <v>0.25</v>
      </c>
      <c r="I94" s="649" t="s">
        <v>825</v>
      </c>
      <c r="J94" s="649" t="s">
        <v>825</v>
      </c>
      <c r="K94" s="649" t="s">
        <v>825</v>
      </c>
      <c r="L94" s="649" t="s">
        <v>825</v>
      </c>
    </row>
    <row r="95" spans="1:12">
      <c r="A95" s="7" t="str">
        <f>A39</f>
        <v>Greenwich Park Apartments</v>
      </c>
      <c r="B95" s="635">
        <v>0</v>
      </c>
      <c r="C95" s="637">
        <f t="shared" si="8"/>
        <v>0</v>
      </c>
      <c r="D95" s="644" t="s">
        <v>822</v>
      </c>
      <c r="E95" s="644" t="s">
        <v>822</v>
      </c>
      <c r="F95" s="644" t="s">
        <v>822</v>
      </c>
      <c r="G95" s="644" t="s">
        <v>822</v>
      </c>
      <c r="H95" s="637">
        <f t="shared" si="9"/>
        <v>6.25E-2</v>
      </c>
      <c r="I95" s="644" t="s">
        <v>822</v>
      </c>
      <c r="J95" s="644" t="s">
        <v>822</v>
      </c>
      <c r="K95" s="644" t="s">
        <v>822</v>
      </c>
      <c r="L95" s="649" t="s">
        <v>825</v>
      </c>
    </row>
    <row r="96" spans="1:12">
      <c r="A96" s="7" t="str">
        <f>A40</f>
        <v>YMCA Austin</v>
      </c>
      <c r="B96" s="635">
        <v>0</v>
      </c>
      <c r="C96" s="637">
        <f t="shared" si="8"/>
        <v>6.25E-2</v>
      </c>
      <c r="D96" s="644" t="s">
        <v>822</v>
      </c>
      <c r="E96" s="644" t="s">
        <v>822</v>
      </c>
      <c r="F96" s="644" t="s">
        <v>822</v>
      </c>
      <c r="G96" s="649" t="s">
        <v>825</v>
      </c>
      <c r="H96" s="637">
        <f t="shared" si="9"/>
        <v>0.25</v>
      </c>
      <c r="I96" s="649" t="s">
        <v>825</v>
      </c>
      <c r="J96" s="649" t="s">
        <v>825</v>
      </c>
      <c r="K96" s="649" t="s">
        <v>825</v>
      </c>
      <c r="L96" s="649" t="s">
        <v>825</v>
      </c>
    </row>
    <row r="97" spans="1:12">
      <c r="A97" s="2" t="str">
        <f>A53</f>
        <v>Copley Site (Phase 1)</v>
      </c>
      <c r="B97" s="301">
        <v>0</v>
      </c>
      <c r="C97" s="637">
        <f t="shared" si="8"/>
        <v>6.25E-2</v>
      </c>
      <c r="D97" s="644" t="s">
        <v>822</v>
      </c>
      <c r="E97" s="644" t="s">
        <v>822</v>
      </c>
      <c r="F97" s="644" t="s">
        <v>822</v>
      </c>
      <c r="G97" s="649" t="s">
        <v>825</v>
      </c>
      <c r="H97" s="637">
        <f t="shared" si="9"/>
        <v>0.25</v>
      </c>
      <c r="I97" s="649" t="s">
        <v>825</v>
      </c>
      <c r="J97" s="649" t="s">
        <v>825</v>
      </c>
      <c r="K97" s="649" t="s">
        <v>825</v>
      </c>
      <c r="L97" s="649" t="s">
        <v>825</v>
      </c>
    </row>
    <row r="98" spans="1:12">
      <c r="B98" s="301"/>
      <c r="H98" s="637"/>
    </row>
    <row r="99" spans="1:12">
      <c r="A99" s="2" t="s">
        <v>35</v>
      </c>
      <c r="B99" s="635">
        <f>SUM(B88:B97)</f>
        <v>60</v>
      </c>
      <c r="C99" s="631">
        <f>SUM(C88:C97)</f>
        <v>1.5</v>
      </c>
      <c r="H99" s="631">
        <f>SUM(H88:H97)</f>
        <v>1.625</v>
      </c>
    </row>
    <row r="100" spans="1:12">
      <c r="A100" s="2" t="s">
        <v>812</v>
      </c>
      <c r="B100" s="632"/>
      <c r="C100" s="631">
        <f>((40*52)/12)*(C99/4)</f>
        <v>65</v>
      </c>
      <c r="H100" s="631">
        <f>((40*52)/12)*(H99/4)</f>
        <v>70.416666666666671</v>
      </c>
    </row>
    <row r="101" spans="1:12">
      <c r="A101" s="2" t="s">
        <v>811</v>
      </c>
      <c r="B101" s="632"/>
      <c r="C101" s="631">
        <f>C99/$J$3</f>
        <v>0.6</v>
      </c>
      <c r="D101" s="635"/>
      <c r="E101" s="635"/>
      <c r="F101" s="635"/>
      <c r="G101" s="635"/>
      <c r="H101" s="631">
        <f>H99/$J$3</f>
        <v>0.65</v>
      </c>
      <c r="I101" s="635"/>
    </row>
    <row r="102" spans="1:12">
      <c r="A102" s="2" t="s">
        <v>810</v>
      </c>
      <c r="B102" s="632"/>
      <c r="C102" s="631">
        <v>1</v>
      </c>
      <c r="D102" s="635"/>
      <c r="E102" s="635"/>
      <c r="F102" s="635"/>
      <c r="G102" s="635"/>
      <c r="H102" s="631">
        <v>1</v>
      </c>
      <c r="I102" s="635"/>
    </row>
    <row r="103" spans="1:12">
      <c r="A103" s="2" t="s">
        <v>809</v>
      </c>
      <c r="B103" s="632"/>
      <c r="C103" s="630">
        <f>100%-C101/C102</f>
        <v>0.4</v>
      </c>
      <c r="D103" s="635"/>
      <c r="E103" s="635"/>
      <c r="F103" s="635"/>
      <c r="G103" s="635"/>
      <c r="H103" s="636">
        <f>100%-H101/H102</f>
        <v>0.35</v>
      </c>
      <c r="I103" s="635"/>
    </row>
    <row r="104" spans="1:12">
      <c r="C104" s="631"/>
      <c r="H104" s="631"/>
    </row>
    <row r="105" spans="1:12" ht="16" thickBot="1">
      <c r="C105" s="631"/>
      <c r="H105" s="631"/>
    </row>
    <row r="106" spans="1:12" ht="16" thickBot="1">
      <c r="A106" s="648" t="s">
        <v>824</v>
      </c>
      <c r="H106" s="637"/>
    </row>
    <row r="107" spans="1:12">
      <c r="A107" s="645" t="str">
        <f>[10]Detail!A4</f>
        <v>Countryside Senior Apts</v>
      </c>
      <c r="B107" s="635">
        <f>[10]Detail!H4</f>
        <v>70</v>
      </c>
      <c r="C107" s="637">
        <f t="shared" ref="C107:C113" si="10">((IF(D107=$D$3,$E$3,0)+IF(D107=$D$4,$E$4,0)+IF(D107=$D$5,$E$5,0)+IF(D107=$D$6,$E$6,0)+IF(D107=$D$7,$E$7,0)+IF(D107=$D$8,$E$8,0)+IF(D107=$D$9,$E$9,0)+IF(D107=$D$10,$E$10,0)+IF(D107=$D$11,$E$11,0)+IF(D107=$D$14,$E$14,0)+IF(D107=$D$13,$E$13,0))+(IF(E107=$D$3,$E$3,0)+IF(E107=$D$4,$E$4,0)+IF(E107=$D$5,$E$5,0)+IF(E107=$D$6,$E$6,0)+IF(E107=$D$7,$E$7,0)+IF(E107=$D$8,$E$8,0)+IF(E107=$D$9,$E$9,0)+IF(E107=$D$10,$E$10,0)+IF(E107=$D$11,$E$11,0)+IF(E107=$D$14,$E$14,0)+IF(E107=$D$13,$E$13,0))+(IF(F107=$D$3,$E$3,0)+IF(F107=$D$4,$E$4,0)+IF(F107=$D$5,$E$5,0)+IF(F107=$D$6,$E$6,0)+IF(F107=$D$7,$E$7,0)+IF(F107=$D$8,$E$8,0)+IF(F107=$D$9,$E$9,0)+IF(F107=$D$10,$E$10,0)+IF(F107=$D$11,$E$11,0)+IF(F107=$D$14,$E$14,0)+IF(F107=$D$13,$E$13,0))+(IF(G107=$D$3,$E$3,0)+IF(G107=$D$4,$E$4,0)+IF(G107=$D$5,$E$5,0)+IF(G107=$D$6,$E$6,0)+IF(G107=$D$7,$E$7,0)+IF(G107=$D$8,$E$8,0)+IF(G107=$D$9,$E$9,0)+IF(G107=$D$10,$E$10,0)+IF(G107=$D$11,$E$11,0)+IF(G107=$D$14,$E$14,0)+IF(G107=$D$13,$E$13,0)))/4</f>
        <v>0.375</v>
      </c>
      <c r="D107" s="639" t="s">
        <v>816</v>
      </c>
      <c r="E107" s="639" t="s">
        <v>816</v>
      </c>
      <c r="F107" s="647" t="s">
        <v>823</v>
      </c>
      <c r="G107" s="646">
        <v>8609</v>
      </c>
      <c r="H107" s="637">
        <f t="shared" ref="H107:H113" si="11">((IF(I107=$D$3,$E$3,0)+IF(I107=$D$4,$E$4,0)+IF(I107=$D$5,$E$5,0)+IF(I107=$D$6,$E$6,0)+IF(I107=$D$7,$E$7,0)+IF(I107=$D$8,$E$8,0)+IF(I107=$D$9,$E$9,0)+IF(I107=$D$10,$E$10,0)+IF(I107=$D$11,$E$11,0)+IF(I107=$D$14,$E$14,0)+IF(I107=$D$13,$E$13,0))+(IF(J107=$D$3,$E$3,0)+IF(J107=$D$4,$E$4,0)+IF(J107=$D$5,$E$5,0)+IF(J107=$D$6,$E$6,0)+IF(J107=$D$7,$E$7,0)+IF(J107=$D$8,$E$8,0)+IF(J107=$D$9,$E$9,0)+IF(J107=$D$10,$E$10,0)+IF(J107=$D$11,$E$11,0)+IF(J107=$D$14,$E$14,0)+IF(J107=$D$13,$E$13,0))+(IF(K107=$D$3,$E$3,0)+IF(K107=$D$4,$E$4,0)+IF(K107=$D$5,$E$5,0)+IF(K107=$D$6,$E$6,0)+IF(K107=$D$7,$E$7,0)+IF(K107=$D$8,$E$8,0)+IF(K107=$D$9,$E$9,0)+IF(K107=$D$10,$E$10,0)+IF(K107=$D$11,$E$11,0)+IF(K107=$D$14,$E$14,0)+IF(K107=$D$13,$E$13,0))+(IF(L107=$D$3,$E$3,0)+IF(L107=$D$4,$E$4,0)+IF(L107=$D$5,$E$5,0)+IF(L107=$D$6,$E$6,0)+IF(L107=$D$7,$E$7,0)+IF(L107=$D$8,$E$8,0)+IF(L107=$D$9,$E$9,0)+IF(L107=$D$10,$E$10,0)+IF(L107=$D$11,$E$11,0)+IF(L107=$D$14,$E$14,0)+IF(L107=$D$13,$E$13,0)))/4</f>
        <v>0.125</v>
      </c>
      <c r="I107" s="646">
        <v>8609</v>
      </c>
      <c r="J107" s="646">
        <v>8609</v>
      </c>
      <c r="K107" s="644" t="s">
        <v>822</v>
      </c>
      <c r="L107" s="644" t="s">
        <v>822</v>
      </c>
    </row>
    <row r="108" spans="1:12">
      <c r="A108" s="645" t="str">
        <f>A20</f>
        <v>Uptown Bond (HWA)</v>
      </c>
      <c r="B108" s="635">
        <f>[10]Detail!H118+[10]Detail!H119</f>
        <v>0</v>
      </c>
      <c r="C108" s="637">
        <f t="shared" si="10"/>
        <v>0.625</v>
      </c>
      <c r="D108" s="642" t="s">
        <v>55</v>
      </c>
      <c r="E108" s="642" t="s">
        <v>55</v>
      </c>
      <c r="F108" s="644" t="s">
        <v>822</v>
      </c>
      <c r="G108" s="644" t="s">
        <v>822</v>
      </c>
      <c r="H108" s="637">
        <f t="shared" si="11"/>
        <v>0</v>
      </c>
      <c r="I108" s="644" t="s">
        <v>822</v>
      </c>
      <c r="J108" s="644" t="s">
        <v>822</v>
      </c>
      <c r="K108" s="644" t="s">
        <v>822</v>
      </c>
      <c r="L108" s="644" t="s">
        <v>822</v>
      </c>
    </row>
    <row r="109" spans="1:12">
      <c r="A109" s="2" t="str">
        <f>[10]Detail!A46</f>
        <v>MHL-NNCHC ILF</v>
      </c>
      <c r="B109" s="635">
        <f>[10]Detail!H46</f>
        <v>80</v>
      </c>
      <c r="C109" s="637">
        <f t="shared" si="10"/>
        <v>0.625</v>
      </c>
      <c r="D109" s="640" t="s">
        <v>54</v>
      </c>
      <c r="E109" s="640" t="s">
        <v>54</v>
      </c>
      <c r="F109" s="641" t="s">
        <v>819</v>
      </c>
      <c r="G109" s="641" t="s">
        <v>819</v>
      </c>
      <c r="H109" s="637">
        <f t="shared" si="11"/>
        <v>1.0625</v>
      </c>
      <c r="I109" s="643" t="s">
        <v>821</v>
      </c>
      <c r="J109" s="641" t="s">
        <v>819</v>
      </c>
      <c r="K109" s="641" t="s">
        <v>819</v>
      </c>
      <c r="L109" s="642" t="s">
        <v>55</v>
      </c>
    </row>
    <row r="110" spans="1:12">
      <c r="A110" s="2" t="s">
        <v>820</v>
      </c>
      <c r="B110" s="635"/>
      <c r="C110" s="637">
        <f t="shared" si="10"/>
        <v>0.8125</v>
      </c>
      <c r="D110" s="640" t="s">
        <v>54</v>
      </c>
      <c r="E110" s="641" t="s">
        <v>819</v>
      </c>
      <c r="F110" s="641" t="s">
        <v>819</v>
      </c>
      <c r="G110" s="641" t="s">
        <v>819</v>
      </c>
      <c r="H110" s="637">
        <f t="shared" si="11"/>
        <v>1</v>
      </c>
      <c r="I110" s="641" t="s">
        <v>819</v>
      </c>
      <c r="J110" s="641" t="s">
        <v>819</v>
      </c>
      <c r="K110" s="641" t="s">
        <v>819</v>
      </c>
      <c r="L110" s="641" t="s">
        <v>819</v>
      </c>
    </row>
    <row r="111" spans="1:12">
      <c r="A111" s="2" t="s">
        <v>818</v>
      </c>
      <c r="B111" s="635"/>
      <c r="C111" s="637">
        <f t="shared" si="10"/>
        <v>0.25</v>
      </c>
      <c r="D111" s="640" t="s">
        <v>54</v>
      </c>
      <c r="E111" s="640" t="s">
        <v>54</v>
      </c>
      <c r="F111" s="640" t="s">
        <v>54</v>
      </c>
      <c r="G111" s="640" t="s">
        <v>54</v>
      </c>
      <c r="H111" s="637">
        <f t="shared" si="11"/>
        <v>0.5</v>
      </c>
      <c r="I111" s="639" t="s">
        <v>816</v>
      </c>
      <c r="J111" s="639" t="s">
        <v>816</v>
      </c>
      <c r="K111" s="639" t="s">
        <v>816</v>
      </c>
      <c r="L111" s="639" t="s">
        <v>816</v>
      </c>
    </row>
    <row r="112" spans="1:12">
      <c r="A112" s="2" t="s">
        <v>817</v>
      </c>
      <c r="B112" s="635"/>
      <c r="C112" s="637">
        <f t="shared" si="10"/>
        <v>0.25</v>
      </c>
      <c r="D112" s="640" t="s">
        <v>54</v>
      </c>
      <c r="E112" s="640" t="s">
        <v>54</v>
      </c>
      <c r="F112" s="640" t="s">
        <v>54</v>
      </c>
      <c r="G112" s="640" t="s">
        <v>54</v>
      </c>
      <c r="H112" s="637">
        <f t="shared" si="11"/>
        <v>0.5</v>
      </c>
      <c r="I112" s="639" t="s">
        <v>816</v>
      </c>
      <c r="J112" s="639" t="s">
        <v>816</v>
      </c>
      <c r="K112" s="639" t="s">
        <v>816</v>
      </c>
      <c r="L112" s="639" t="s">
        <v>816</v>
      </c>
    </row>
    <row r="113" spans="1:12">
      <c r="A113" s="2" t="s">
        <v>815</v>
      </c>
      <c r="B113" s="635"/>
      <c r="C113" s="637">
        <f t="shared" si="10"/>
        <v>1</v>
      </c>
      <c r="D113" s="638" t="s">
        <v>814</v>
      </c>
      <c r="E113" s="638" t="s">
        <v>814</v>
      </c>
      <c r="F113" s="638" t="s">
        <v>814</v>
      </c>
      <c r="G113" s="638" t="s">
        <v>814</v>
      </c>
      <c r="H113" s="637">
        <f t="shared" si="11"/>
        <v>1</v>
      </c>
      <c r="I113" s="638" t="s">
        <v>814</v>
      </c>
      <c r="J113" s="638" t="s">
        <v>814</v>
      </c>
      <c r="K113" s="638" t="s">
        <v>814</v>
      </c>
      <c r="L113" s="638" t="s">
        <v>814</v>
      </c>
    </row>
    <row r="114" spans="1:12">
      <c r="B114" s="301"/>
      <c r="H114" s="637"/>
    </row>
    <row r="115" spans="1:12">
      <c r="A115" s="2" t="s">
        <v>35</v>
      </c>
      <c r="B115" s="635">
        <f>SUM(B107:B114)</f>
        <v>150</v>
      </c>
      <c r="C115" s="631">
        <f>SUM(C107:C114)</f>
        <v>3.9375</v>
      </c>
      <c r="H115" s="631">
        <f>SUM(H107:H114)</f>
        <v>4.1875</v>
      </c>
    </row>
    <row r="116" spans="1:12">
      <c r="A116" s="2" t="s">
        <v>812</v>
      </c>
      <c r="B116" s="632"/>
      <c r="C116" s="631">
        <f>((40*52)/12)*(C115/4)</f>
        <v>170.625</v>
      </c>
      <c r="H116" s="631">
        <f>((40*52)/12)*(H115/4)</f>
        <v>181.45833333333334</v>
      </c>
    </row>
    <row r="117" spans="1:12">
      <c r="A117" s="2" t="s">
        <v>811</v>
      </c>
      <c r="B117" s="632"/>
      <c r="C117" s="631">
        <f>C115/$J$3</f>
        <v>1.575</v>
      </c>
      <c r="D117" s="635"/>
      <c r="E117" s="635"/>
      <c r="F117" s="635"/>
      <c r="G117" s="635"/>
      <c r="H117" s="631">
        <f>H115/$J$3</f>
        <v>1.675</v>
      </c>
      <c r="I117" s="635"/>
    </row>
    <row r="118" spans="1:12">
      <c r="A118" s="2" t="s">
        <v>810</v>
      </c>
      <c r="B118" s="632"/>
      <c r="C118" s="631">
        <f>1+1-C101</f>
        <v>1.4</v>
      </c>
      <c r="D118" s="635"/>
      <c r="E118" s="635"/>
      <c r="F118" s="635"/>
      <c r="G118" s="635"/>
      <c r="H118" s="631">
        <f>1+1-H101</f>
        <v>1.35</v>
      </c>
      <c r="I118" s="635"/>
    </row>
    <row r="119" spans="1:12">
      <c r="A119" s="2" t="s">
        <v>809</v>
      </c>
      <c r="B119" s="632"/>
      <c r="C119" s="630">
        <f>100%-C117/C118</f>
        <v>-0.125</v>
      </c>
      <c r="D119" s="635"/>
      <c r="E119" s="635"/>
      <c r="F119" s="635"/>
      <c r="G119" s="635"/>
      <c r="H119" s="636">
        <f>100%-H117/H118</f>
        <v>-0.2407407407407407</v>
      </c>
      <c r="I119" s="635"/>
    </row>
    <row r="120" spans="1:12" ht="16" thickBot="1">
      <c r="C120" s="631"/>
      <c r="H120" s="631"/>
    </row>
    <row r="121" spans="1:12" ht="16" thickBot="1">
      <c r="A121" s="634" t="s">
        <v>813</v>
      </c>
      <c r="B121" s="633" t="e">
        <f>B30+B45+B59+C70+B81+B99+B115</f>
        <v>#REF!</v>
      </c>
      <c r="H121" s="631"/>
    </row>
    <row r="122" spans="1:12">
      <c r="B122" s="632"/>
      <c r="H122" s="631"/>
    </row>
    <row r="123" spans="1:12">
      <c r="A123" s="2" t="s">
        <v>35</v>
      </c>
      <c r="C123" s="629">
        <f>C30+C45+C59+C70+C81+C99+C115</f>
        <v>18.6875</v>
      </c>
      <c r="H123" s="629">
        <f>H30+H45+H59+H70+H81+H99+H115</f>
        <v>20.5</v>
      </c>
    </row>
    <row r="124" spans="1:12">
      <c r="A124" s="2" t="s">
        <v>812</v>
      </c>
      <c r="C124" s="629">
        <f>C32+C46+C60+C71+C82+C100+C116</f>
        <v>809.79166666666674</v>
      </c>
      <c r="H124" s="629">
        <f>H32+H46+H60+H71+H82+H100+H116</f>
        <v>888.33333333333337</v>
      </c>
    </row>
    <row r="125" spans="1:12">
      <c r="A125" s="2" t="s">
        <v>811</v>
      </c>
      <c r="C125" s="629">
        <f>C33+C47+C61+C72+C83+C101+C117</f>
        <v>7.4750000000000005</v>
      </c>
      <c r="H125" s="629">
        <f>H33+H47+H61+H72+H83+H101+H117</f>
        <v>8.2000000000000011</v>
      </c>
    </row>
    <row r="126" spans="1:12">
      <c r="A126" s="2" t="s">
        <v>810</v>
      </c>
      <c r="C126" s="629">
        <f>C34+C48+C62+C73+C84+C102+C118</f>
        <v>7.9749999999999996</v>
      </c>
      <c r="H126" s="629">
        <f>H34+H48+H62+H73+H84+H102+H118</f>
        <v>7.875</v>
      </c>
    </row>
    <row r="127" spans="1:12">
      <c r="A127" s="2" t="s">
        <v>809</v>
      </c>
      <c r="C127" s="630">
        <f>100%-C125/C126</f>
        <v>6.2695924764890165E-2</v>
      </c>
      <c r="H127" s="630">
        <f>100%-H125/H126</f>
        <v>-4.1269841269841345E-2</v>
      </c>
    </row>
  </sheetData>
  <mergeCells count="2">
    <mergeCell ref="A1:L1"/>
    <mergeCell ref="H2:K2"/>
  </mergeCells>
  <printOptions horizontalCentered="1"/>
  <pageMargins left="0.2" right="0.2" top="0.5" bottom="0.5" header="0.3" footer="0.3"/>
  <pageSetup paperSize="17" scale="38" orientation="portrait" r:id="rId1"/>
  <headerFooter>
    <oddFooter>&amp;R&amp;P of &amp;N</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7030A0"/>
  </sheetPr>
  <dimension ref="A1:Q130"/>
  <sheetViews>
    <sheetView zoomScale="90" zoomScaleNormal="90" workbookViewId="0">
      <selection activeCell="F28" sqref="F28"/>
    </sheetView>
  </sheetViews>
  <sheetFormatPr baseColWidth="10" defaultColWidth="9.1640625" defaultRowHeight="14"/>
  <cols>
    <col min="1" max="1" width="3.1640625" style="278" customWidth="1"/>
    <col min="2" max="2" width="26" style="179" customWidth="1"/>
    <col min="3" max="3" width="10.5" style="179" customWidth="1"/>
    <col min="4" max="4" width="12.5" style="279" customWidth="1"/>
    <col min="5" max="5" width="11.5" style="280" customWidth="1"/>
    <col min="6" max="6" width="46.1640625" style="281" customWidth="1"/>
    <col min="7" max="12" width="11" style="179" customWidth="1"/>
    <col min="13" max="13" width="13" style="282" customWidth="1"/>
    <col min="14" max="15" width="13" style="179" customWidth="1"/>
    <col min="16" max="16384" width="9.1640625" style="179"/>
  </cols>
  <sheetData>
    <row r="1" spans="1:17" s="228" customFormat="1" ht="45">
      <c r="A1" s="855" t="s">
        <v>574</v>
      </c>
      <c r="B1" s="855"/>
      <c r="C1" s="224" t="s">
        <v>269</v>
      </c>
      <c r="D1" s="225" t="s">
        <v>270</v>
      </c>
      <c r="E1" s="226" t="s">
        <v>576</v>
      </c>
      <c r="F1" s="227" t="s">
        <v>271</v>
      </c>
      <c r="G1" s="227">
        <v>2013</v>
      </c>
      <c r="H1" s="227">
        <v>2014</v>
      </c>
      <c r="I1" s="227">
        <v>2015</v>
      </c>
      <c r="J1" s="227">
        <v>2016</v>
      </c>
      <c r="K1" s="227">
        <v>2017</v>
      </c>
      <c r="L1" s="227">
        <v>2018</v>
      </c>
      <c r="M1" s="227" t="s">
        <v>272</v>
      </c>
    </row>
    <row r="2" spans="1:17" s="235" customFormat="1" ht="20" thickBot="1">
      <c r="A2" s="229" t="s">
        <v>273</v>
      </c>
      <c r="B2" s="230"/>
      <c r="C2" s="231"/>
      <c r="D2" s="232"/>
      <c r="E2" s="233"/>
      <c r="F2" s="234"/>
      <c r="G2" s="234"/>
      <c r="H2" s="234"/>
      <c r="I2" s="234"/>
      <c r="J2" s="234"/>
      <c r="K2" s="234"/>
      <c r="L2" s="234"/>
      <c r="M2" s="234"/>
      <c r="N2" s="234"/>
      <c r="O2" s="234"/>
      <c r="P2" s="234"/>
      <c r="Q2" s="234"/>
    </row>
    <row r="3" spans="1:17" s="242" customFormat="1" ht="17" thickBot="1">
      <c r="A3" s="236" t="s">
        <v>274</v>
      </c>
      <c r="B3" s="237"/>
      <c r="C3" s="238">
        <v>875000</v>
      </c>
      <c r="D3" s="238"/>
      <c r="E3" s="239">
        <f>C3-150000</f>
        <v>725000</v>
      </c>
      <c r="F3" s="240"/>
      <c r="G3" s="238">
        <f>E3-150000</f>
        <v>575000</v>
      </c>
      <c r="H3" s="238">
        <f>G3-150000</f>
        <v>425000</v>
      </c>
      <c r="I3" s="237">
        <v>0</v>
      </c>
      <c r="J3" s="237"/>
      <c r="K3" s="237"/>
      <c r="L3" s="237"/>
      <c r="M3" s="241"/>
    </row>
    <row r="4" spans="1:17" s="180" customFormat="1" ht="15">
      <c r="A4" s="243"/>
      <c r="B4" s="244" t="s">
        <v>275</v>
      </c>
      <c r="D4" s="245"/>
      <c r="E4" s="246"/>
      <c r="F4" s="247"/>
      <c r="M4" s="248"/>
    </row>
    <row r="5" spans="1:17" s="180" customFormat="1" ht="30">
      <c r="A5" s="243"/>
      <c r="B5" s="187" t="s">
        <v>52</v>
      </c>
      <c r="C5" s="249"/>
      <c r="D5" s="250">
        <f>'2012 Detail by Month'!E5</f>
        <v>11153</v>
      </c>
      <c r="E5" s="251">
        <f>'2012 Detail by Month'!AD5</f>
        <v>0</v>
      </c>
      <c r="F5" s="252" t="s">
        <v>623</v>
      </c>
      <c r="G5" s="249"/>
      <c r="H5" s="249"/>
      <c r="I5" s="249"/>
      <c r="J5" s="249"/>
      <c r="K5" s="249"/>
      <c r="L5" s="249"/>
      <c r="M5" s="253">
        <f>E5+G5+H5+I5+J5+K5+L5</f>
        <v>0</v>
      </c>
    </row>
    <row r="6" spans="1:17" s="180" customFormat="1" ht="30">
      <c r="A6" s="243"/>
      <c r="B6" s="187" t="s">
        <v>277</v>
      </c>
      <c r="C6" s="249"/>
      <c r="D6" s="250">
        <f>'2012 Detail by Month'!E6</f>
        <v>55634</v>
      </c>
      <c r="E6" s="251">
        <f>'2012 Detail by Month'!AD6</f>
        <v>56470</v>
      </c>
      <c r="F6" s="252" t="s">
        <v>624</v>
      </c>
      <c r="G6" s="249"/>
      <c r="H6" s="249"/>
      <c r="I6" s="249"/>
      <c r="J6" s="249"/>
      <c r="K6" s="249"/>
      <c r="L6" s="249"/>
      <c r="M6" s="253">
        <f t="shared" ref="M6:M9" si="0">E6+G6+H6+I6+J6+K6+L6</f>
        <v>56470</v>
      </c>
    </row>
    <row r="7" spans="1:17" s="180" customFormat="1" ht="15">
      <c r="A7" s="243"/>
      <c r="B7" s="187" t="s">
        <v>278</v>
      </c>
      <c r="C7" s="249"/>
      <c r="D7" s="250">
        <f>'2012 Detail by Month'!E7</f>
        <v>565512</v>
      </c>
      <c r="E7" s="251">
        <f>'2012 Detail by Month'!AD7</f>
        <v>569013</v>
      </c>
      <c r="F7" s="252" t="s">
        <v>625</v>
      </c>
      <c r="G7" s="249"/>
      <c r="H7" s="249"/>
      <c r="I7" s="249"/>
      <c r="J7" s="249"/>
      <c r="K7" s="249"/>
      <c r="L7" s="249"/>
      <c r="M7" s="253">
        <f t="shared" si="0"/>
        <v>569013</v>
      </c>
    </row>
    <row r="8" spans="1:17" s="180" customFormat="1" ht="30">
      <c r="A8" s="243"/>
      <c r="B8" s="187" t="s">
        <v>279</v>
      </c>
      <c r="C8" s="249"/>
      <c r="D8" s="250">
        <f>'2012 Detail by Month'!E8</f>
        <v>118103</v>
      </c>
      <c r="E8" s="251">
        <f>'2012 Detail by Month'!AD8</f>
        <v>114194</v>
      </c>
      <c r="F8" s="252" t="s">
        <v>276</v>
      </c>
      <c r="G8" s="249"/>
      <c r="H8" s="249"/>
      <c r="I8" s="249"/>
      <c r="J8" s="249"/>
      <c r="K8" s="249"/>
      <c r="L8" s="249"/>
      <c r="M8" s="253">
        <f t="shared" si="0"/>
        <v>114194</v>
      </c>
    </row>
    <row r="9" spans="1:17" s="180" customFormat="1" ht="30">
      <c r="A9" s="243"/>
      <c r="B9" s="187" t="s">
        <v>280</v>
      </c>
      <c r="C9" s="249"/>
      <c r="D9" s="250">
        <f>'2012 Detail by Month'!E9</f>
        <v>93145</v>
      </c>
      <c r="E9" s="251">
        <f>'2012 Detail by Month'!AD9</f>
        <v>94545</v>
      </c>
      <c r="F9" s="252" t="s">
        <v>276</v>
      </c>
      <c r="G9" s="249"/>
      <c r="H9" s="249"/>
      <c r="I9" s="249"/>
      <c r="J9" s="249"/>
      <c r="K9" s="249"/>
      <c r="L9" s="249"/>
      <c r="M9" s="253">
        <f t="shared" si="0"/>
        <v>94545</v>
      </c>
    </row>
    <row r="10" spans="1:17" s="248" customFormat="1" ht="15">
      <c r="A10" s="243"/>
      <c r="B10" s="248" t="s">
        <v>281</v>
      </c>
      <c r="C10" s="254"/>
      <c r="D10" s="255">
        <f>SUM(D5:D9)</f>
        <v>843547</v>
      </c>
      <c r="E10" s="256">
        <f>SUM(E5:E9)</f>
        <v>834222</v>
      </c>
      <c r="F10" s="257"/>
      <c r="G10" s="254">
        <f>SUM(G5:G9)</f>
        <v>0</v>
      </c>
      <c r="H10" s="254">
        <f t="shared" ref="H10:L10" si="1">SUM(H5:H9)</f>
        <v>0</v>
      </c>
      <c r="I10" s="254">
        <f t="shared" si="1"/>
        <v>0</v>
      </c>
      <c r="J10" s="254">
        <f t="shared" si="1"/>
        <v>0</v>
      </c>
      <c r="K10" s="254">
        <f t="shared" si="1"/>
        <v>0</v>
      </c>
      <c r="L10" s="254">
        <f t="shared" si="1"/>
        <v>0</v>
      </c>
      <c r="M10" s="254"/>
    </row>
    <row r="11" spans="1:17" s="244" customFormat="1" ht="18" customHeight="1" thickBot="1">
      <c r="A11" s="258"/>
      <c r="B11" s="259" t="s">
        <v>282</v>
      </c>
      <c r="C11" s="258"/>
      <c r="D11" s="258">
        <f>SUM(D5:D9)</f>
        <v>843547</v>
      </c>
      <c r="E11" s="258">
        <f>D11+E10</f>
        <v>1677769</v>
      </c>
      <c r="F11" s="260"/>
      <c r="G11" s="258">
        <f>E11+G10</f>
        <v>1677769</v>
      </c>
      <c r="H11" s="258">
        <f>G11+H10</f>
        <v>1677769</v>
      </c>
      <c r="I11" s="258">
        <f>H11+I10</f>
        <v>1677769</v>
      </c>
      <c r="J11" s="258">
        <f>I11+J10</f>
        <v>1677769</v>
      </c>
      <c r="K11" s="258">
        <f>J11+K10</f>
        <v>1677769</v>
      </c>
      <c r="L11" s="258">
        <f>K11+L10</f>
        <v>1677769</v>
      </c>
      <c r="M11" s="258">
        <f>SUM(M5:M9)</f>
        <v>834222</v>
      </c>
    </row>
    <row r="12" spans="1:17" s="180" customFormat="1" ht="16" thickTop="1" thickBot="1">
      <c r="A12" s="243"/>
      <c r="C12" s="261"/>
      <c r="D12" s="261"/>
      <c r="E12" s="262"/>
      <c r="F12" s="263"/>
      <c r="G12" s="261"/>
      <c r="H12" s="261"/>
      <c r="I12" s="261"/>
      <c r="J12" s="261"/>
      <c r="K12" s="261"/>
      <c r="L12" s="261"/>
      <c r="M12" s="254"/>
    </row>
    <row r="13" spans="1:17" s="242" customFormat="1" ht="17" thickBot="1">
      <c r="A13" s="236" t="s">
        <v>283</v>
      </c>
      <c r="B13" s="237"/>
      <c r="C13" s="238">
        <v>1750000</v>
      </c>
      <c r="D13" s="238">
        <v>1750000</v>
      </c>
      <c r="E13" s="239">
        <v>1750000</v>
      </c>
      <c r="F13" s="240"/>
      <c r="G13" s="238">
        <v>1750000</v>
      </c>
      <c r="H13" s="238">
        <v>1750000</v>
      </c>
      <c r="I13" s="238">
        <v>1750000</v>
      </c>
      <c r="J13" s="238">
        <v>1750000</v>
      </c>
      <c r="K13" s="238">
        <v>1750000</v>
      </c>
      <c r="L13" s="238">
        <v>0</v>
      </c>
      <c r="M13" s="241"/>
    </row>
    <row r="14" spans="1:17" s="180" customFormat="1" ht="15">
      <c r="A14" s="243"/>
      <c r="B14" s="244" t="s">
        <v>284</v>
      </c>
      <c r="C14" s="254"/>
      <c r="D14" s="254"/>
      <c r="E14" s="256"/>
      <c r="F14" s="257"/>
      <c r="G14" s="254"/>
      <c r="H14" s="254"/>
      <c r="I14" s="254"/>
      <c r="J14" s="254"/>
      <c r="K14" s="254"/>
      <c r="L14" s="254"/>
      <c r="M14" s="254"/>
    </row>
    <row r="15" spans="1:17" s="180" customFormat="1" ht="45">
      <c r="A15" s="243"/>
      <c r="B15" s="187" t="s">
        <v>285</v>
      </c>
      <c r="C15" s="249"/>
      <c r="D15" s="250">
        <f>'2012 Detail by Month'!E15</f>
        <v>258442</v>
      </c>
      <c r="E15" s="251">
        <f>'2012 Detail by Month'!AD15</f>
        <v>258442</v>
      </c>
      <c r="F15" s="252" t="s">
        <v>286</v>
      </c>
      <c r="G15" s="249"/>
      <c r="H15" s="249"/>
      <c r="I15" s="249"/>
      <c r="J15" s="249"/>
      <c r="K15" s="249"/>
      <c r="L15" s="249"/>
      <c r="M15" s="253">
        <f t="shared" ref="M15:M27" si="2">E15+G15+H15+I15+J15+K15+L15</f>
        <v>258442</v>
      </c>
    </row>
    <row r="16" spans="1:17" s="180" customFormat="1" ht="60">
      <c r="A16" s="243"/>
      <c r="B16" s="187" t="s">
        <v>287</v>
      </c>
      <c r="C16" s="249"/>
      <c r="D16" s="250">
        <f>'2012 Detail by Month'!E16</f>
        <v>298243.75</v>
      </c>
      <c r="E16" s="251">
        <f>'2012 Detail by Month'!AD16</f>
        <v>298244</v>
      </c>
      <c r="F16" s="252" t="s">
        <v>581</v>
      </c>
      <c r="G16" s="249"/>
      <c r="H16" s="249"/>
      <c r="I16" s="249"/>
      <c r="J16" s="249"/>
      <c r="K16" s="249"/>
      <c r="L16" s="249"/>
      <c r="M16" s="253">
        <f t="shared" si="2"/>
        <v>298244</v>
      </c>
    </row>
    <row r="17" spans="1:13" s="180" customFormat="1" ht="30">
      <c r="A17" s="243"/>
      <c r="B17" s="187" t="s">
        <v>288</v>
      </c>
      <c r="C17" s="249"/>
      <c r="D17" s="250">
        <f>'2012 Detail by Month'!E17</f>
        <v>228546.99999999994</v>
      </c>
      <c r="E17" s="251">
        <f>'2012 Detail by Month'!AD17</f>
        <v>195346</v>
      </c>
      <c r="F17" s="252" t="s">
        <v>289</v>
      </c>
      <c r="G17" s="249"/>
      <c r="H17" s="249"/>
      <c r="I17" s="249"/>
      <c r="J17" s="249"/>
      <c r="K17" s="249"/>
      <c r="L17" s="249"/>
      <c r="M17" s="253">
        <f t="shared" si="2"/>
        <v>195346</v>
      </c>
    </row>
    <row r="18" spans="1:13" s="180" customFormat="1" ht="15">
      <c r="A18" s="243"/>
      <c r="B18" s="187" t="s">
        <v>290</v>
      </c>
      <c r="C18" s="249"/>
      <c r="D18" s="250">
        <f>'2012 Detail by Month'!E18</f>
        <v>202327.97999999998</v>
      </c>
      <c r="E18" s="251">
        <f>'2012 Detail by Month'!AD18</f>
        <v>205010</v>
      </c>
      <c r="F18" s="252" t="s">
        <v>291</v>
      </c>
      <c r="G18" s="249"/>
      <c r="H18" s="249"/>
      <c r="I18" s="249"/>
      <c r="J18" s="249"/>
      <c r="K18" s="249"/>
      <c r="L18" s="249"/>
      <c r="M18" s="253">
        <f t="shared" si="2"/>
        <v>205010</v>
      </c>
    </row>
    <row r="19" spans="1:13" s="180" customFormat="1" ht="15">
      <c r="A19" s="243"/>
      <c r="B19" s="187" t="s">
        <v>292</v>
      </c>
      <c r="C19" s="249"/>
      <c r="D19" s="250">
        <f>'2012 Detail by Month'!E19</f>
        <v>64907</v>
      </c>
      <c r="E19" s="251">
        <f>'2012 Detail by Month'!AD19</f>
        <v>64907</v>
      </c>
      <c r="F19" s="264" t="s">
        <v>293</v>
      </c>
      <c r="G19" s="249"/>
      <c r="H19" s="249"/>
      <c r="I19" s="249"/>
      <c r="J19" s="249"/>
      <c r="K19" s="249"/>
      <c r="L19" s="249"/>
      <c r="M19" s="253">
        <f t="shared" si="2"/>
        <v>64907</v>
      </c>
    </row>
    <row r="20" spans="1:13" s="180" customFormat="1" ht="12.75" customHeight="1">
      <c r="A20" s="243"/>
      <c r="B20" s="187" t="s">
        <v>294</v>
      </c>
      <c r="C20" s="249"/>
      <c r="D20" s="250">
        <f>'2012 Detail by Month'!E20</f>
        <v>250000</v>
      </c>
      <c r="E20" s="251">
        <f>'2012 Detail by Month'!AD20</f>
        <v>250000</v>
      </c>
      <c r="F20" s="252" t="s">
        <v>295</v>
      </c>
      <c r="G20" s="249">
        <f>-250000/4</f>
        <v>-62500</v>
      </c>
      <c r="H20" s="249">
        <f>-250000/4</f>
        <v>-62500</v>
      </c>
      <c r="I20" s="249">
        <f t="shared" ref="I20:J20" si="3">-250000/4</f>
        <v>-62500</v>
      </c>
      <c r="J20" s="249">
        <f t="shared" si="3"/>
        <v>-62500</v>
      </c>
      <c r="K20" s="249"/>
      <c r="L20" s="249"/>
      <c r="M20" s="253">
        <f t="shared" si="2"/>
        <v>0</v>
      </c>
    </row>
    <row r="21" spans="1:13" s="180" customFormat="1" ht="15">
      <c r="A21" s="243"/>
      <c r="B21" s="187" t="s">
        <v>296</v>
      </c>
      <c r="C21" s="249"/>
      <c r="D21" s="250">
        <f>'2012 Detail by Month'!E21</f>
        <v>648.43999999999971</v>
      </c>
      <c r="E21" s="251">
        <f>'2012 Detail by Month'!AD21</f>
        <v>656</v>
      </c>
      <c r="F21" s="252"/>
      <c r="G21" s="249"/>
      <c r="H21" s="249"/>
      <c r="I21" s="249"/>
      <c r="J21" s="249"/>
      <c r="K21" s="249"/>
      <c r="L21" s="249"/>
      <c r="M21" s="253">
        <f t="shared" si="2"/>
        <v>656</v>
      </c>
    </row>
    <row r="22" spans="1:13" s="180" customFormat="1" ht="15">
      <c r="A22" s="243"/>
      <c r="B22" s="187" t="s">
        <v>622</v>
      </c>
      <c r="C22" s="249"/>
      <c r="D22" s="250">
        <f>'2012 Detail by Month'!E22</f>
        <v>0</v>
      </c>
      <c r="E22" s="251">
        <f>'2012 Detail by Month'!AD22</f>
        <v>0</v>
      </c>
      <c r="F22" s="252"/>
      <c r="G22" s="249"/>
      <c r="H22" s="249"/>
      <c r="I22" s="249"/>
      <c r="J22" s="249"/>
      <c r="K22" s="249"/>
      <c r="L22" s="249"/>
      <c r="M22" s="253"/>
    </row>
    <row r="23" spans="1:13" s="180" customFormat="1" ht="15">
      <c r="A23" s="243"/>
      <c r="B23" s="187" t="s">
        <v>297</v>
      </c>
      <c r="C23" s="249"/>
      <c r="D23" s="250">
        <f>'2012 Detail by Month'!E23</f>
        <v>244276.74999999997</v>
      </c>
      <c r="E23" s="251">
        <f>'2012 Detail by Month'!AD23</f>
        <v>245310</v>
      </c>
      <c r="F23" s="252"/>
      <c r="G23" s="249"/>
      <c r="H23" s="249"/>
      <c r="I23" s="249"/>
      <c r="J23" s="249"/>
      <c r="K23" s="249"/>
      <c r="L23" s="249"/>
      <c r="M23" s="253">
        <f t="shared" si="2"/>
        <v>245310</v>
      </c>
    </row>
    <row r="24" spans="1:13" s="180" customFormat="1" ht="30">
      <c r="A24" s="243"/>
      <c r="B24" s="187" t="s">
        <v>298</v>
      </c>
      <c r="C24" s="249"/>
      <c r="D24" s="250">
        <f>'2012 Detail by Month'!E24</f>
        <v>35713.889999999992</v>
      </c>
      <c r="E24" s="251">
        <f>'2012 Detail by Month'!AD24</f>
        <v>36320</v>
      </c>
      <c r="F24" s="252" t="s">
        <v>299</v>
      </c>
      <c r="G24" s="249"/>
      <c r="H24" s="249"/>
      <c r="I24" s="249"/>
      <c r="J24" s="249"/>
      <c r="K24" s="249"/>
      <c r="L24" s="249"/>
      <c r="M24" s="253">
        <f t="shared" si="2"/>
        <v>36320</v>
      </c>
    </row>
    <row r="25" spans="1:13" s="180" customFormat="1" ht="15">
      <c r="A25" s="243"/>
      <c r="B25" s="187" t="s">
        <v>300</v>
      </c>
      <c r="C25" s="249"/>
      <c r="D25" s="250">
        <f>'2012 Detail by Month'!E25</f>
        <v>16329.190520000009</v>
      </c>
      <c r="E25" s="251">
        <f>'2012 Detail by Month'!AD25</f>
        <v>16525</v>
      </c>
      <c r="F25" s="264" t="s">
        <v>301</v>
      </c>
      <c r="G25" s="249"/>
      <c r="H25" s="249"/>
      <c r="I25" s="249"/>
      <c r="J25" s="249"/>
      <c r="K25" s="249"/>
      <c r="L25" s="249"/>
      <c r="M25" s="253">
        <f t="shared" si="2"/>
        <v>16525</v>
      </c>
    </row>
    <row r="26" spans="1:13" s="180" customFormat="1" ht="15">
      <c r="A26" s="243"/>
      <c r="B26" s="187" t="s">
        <v>302</v>
      </c>
      <c r="C26" s="249"/>
      <c r="D26" s="250">
        <f>'2012 Detail by Month'!E26</f>
        <v>38024</v>
      </c>
      <c r="E26" s="251">
        <f>'2012 Detail by Month'!AD26</f>
        <v>38480</v>
      </c>
      <c r="F26" s="264" t="s">
        <v>301</v>
      </c>
      <c r="G26" s="249"/>
      <c r="H26" s="249"/>
      <c r="I26" s="249"/>
      <c r="J26" s="249"/>
      <c r="K26" s="249"/>
      <c r="L26" s="249"/>
      <c r="M26" s="253">
        <f t="shared" si="2"/>
        <v>38480</v>
      </c>
    </row>
    <row r="27" spans="1:13" s="180" customFormat="1" ht="30">
      <c r="A27" s="243"/>
      <c r="B27" s="180" t="s">
        <v>303</v>
      </c>
      <c r="C27" s="261"/>
      <c r="D27" s="250">
        <f>'2012 Detail by Month'!E27</f>
        <v>37323.48204599999</v>
      </c>
      <c r="E27" s="251">
        <f>'2012 Detail by Month'!AD27</f>
        <v>37722</v>
      </c>
      <c r="F27" s="257" t="s">
        <v>627</v>
      </c>
      <c r="G27" s="261"/>
      <c r="H27" s="261"/>
      <c r="I27" s="261"/>
      <c r="J27" s="261"/>
      <c r="K27" s="261"/>
      <c r="L27" s="261"/>
      <c r="M27" s="253">
        <f t="shared" si="2"/>
        <v>37722</v>
      </c>
    </row>
    <row r="28" spans="1:13" s="248" customFormat="1" ht="15">
      <c r="A28" s="265"/>
      <c r="B28" s="266" t="s">
        <v>281</v>
      </c>
      <c r="C28" s="267"/>
      <c r="D28" s="268">
        <f>SUM(D15:D27)</f>
        <v>1674783.4825659997</v>
      </c>
      <c r="E28" s="269">
        <f>SUM(E15:E27)</f>
        <v>1646962</v>
      </c>
      <c r="F28" s="270"/>
      <c r="G28" s="267">
        <f>SUM(G15:G27)</f>
        <v>-62500</v>
      </c>
      <c r="H28" s="267">
        <f t="shared" ref="H28:L28" si="4">SUM(H15:H27)</f>
        <v>-62500</v>
      </c>
      <c r="I28" s="267">
        <f t="shared" si="4"/>
        <v>-62500</v>
      </c>
      <c r="J28" s="267">
        <f t="shared" si="4"/>
        <v>-62500</v>
      </c>
      <c r="K28" s="267">
        <f t="shared" si="4"/>
        <v>0</v>
      </c>
      <c r="L28" s="267">
        <f t="shared" si="4"/>
        <v>0</v>
      </c>
      <c r="M28" s="271"/>
    </row>
    <row r="29" spans="1:13" s="244" customFormat="1" ht="19.5" customHeight="1" thickBot="1">
      <c r="A29" s="272"/>
      <c r="B29" s="259" t="s">
        <v>282</v>
      </c>
      <c r="C29" s="258"/>
      <c r="D29" s="258">
        <f>D28</f>
        <v>1674783.4825659997</v>
      </c>
      <c r="E29" s="258">
        <f>D29+E28</f>
        <v>3321745.482566</v>
      </c>
      <c r="F29" s="260"/>
      <c r="G29" s="258">
        <f>E29+G28</f>
        <v>3259245.482566</v>
      </c>
      <c r="H29" s="258">
        <f>G29+H28</f>
        <v>3196745.482566</v>
      </c>
      <c r="I29" s="258">
        <f>H29+I28</f>
        <v>3134245.482566</v>
      </c>
      <c r="J29" s="258">
        <f>I29+J28</f>
        <v>3071745.482566</v>
      </c>
      <c r="K29" s="258">
        <f>J29+K28</f>
        <v>3071745.482566</v>
      </c>
      <c r="L29" s="258">
        <f>K29+L28</f>
        <v>3071745.482566</v>
      </c>
      <c r="M29" s="258">
        <f>SUM(M15:M27)</f>
        <v>1396962</v>
      </c>
    </row>
    <row r="30" spans="1:13" s="180" customFormat="1" ht="15" thickTop="1">
      <c r="A30" s="243"/>
      <c r="C30" s="261"/>
      <c r="D30" s="261"/>
      <c r="E30" s="273"/>
      <c r="F30" s="274"/>
      <c r="G30" s="261"/>
      <c r="H30" s="261"/>
      <c r="I30" s="261"/>
      <c r="J30" s="261"/>
      <c r="K30" s="261"/>
      <c r="L30" s="261"/>
      <c r="M30" s="254"/>
    </row>
    <row r="31" spans="1:13" s="180" customFormat="1" ht="15" thickBot="1">
      <c r="A31" s="243"/>
      <c r="C31" s="261"/>
      <c r="D31" s="261"/>
      <c r="E31" s="273"/>
      <c r="F31" s="274"/>
      <c r="G31" s="261"/>
      <c r="H31" s="261"/>
      <c r="I31" s="261"/>
      <c r="J31" s="261"/>
      <c r="K31" s="261"/>
      <c r="L31" s="261"/>
      <c r="M31" s="254"/>
    </row>
    <row r="32" spans="1:13" s="180" customFormat="1" ht="17" thickBot="1">
      <c r="A32" s="236" t="s">
        <v>304</v>
      </c>
      <c r="B32" s="237"/>
      <c r="C32" s="238"/>
      <c r="D32" s="238"/>
      <c r="E32" s="239"/>
      <c r="F32" s="240"/>
      <c r="G32" s="238"/>
      <c r="H32" s="238"/>
      <c r="I32" s="238"/>
      <c r="J32" s="238"/>
      <c r="K32" s="238"/>
      <c r="L32" s="238"/>
      <c r="M32" s="241"/>
    </row>
    <row r="33" spans="1:13" s="180" customFormat="1" ht="15">
      <c r="A33" s="243"/>
      <c r="B33" s="180" t="s">
        <v>305</v>
      </c>
      <c r="C33" s="261"/>
      <c r="D33" s="255">
        <f>'2012 Detail by Month'!E32</f>
        <v>266396</v>
      </c>
      <c r="E33" s="246">
        <f>'2012 Detail by Month'!AD32</f>
        <v>269530</v>
      </c>
      <c r="F33" s="257" t="s">
        <v>306</v>
      </c>
      <c r="G33" s="261"/>
      <c r="H33" s="261"/>
      <c r="I33" s="261"/>
      <c r="J33" s="261"/>
      <c r="K33" s="261"/>
      <c r="L33" s="261"/>
      <c r="M33" s="253">
        <f t="shared" ref="M33:M39" si="5">E33+G33+H33+I33+J33+K33+L33</f>
        <v>269530</v>
      </c>
    </row>
    <row r="34" spans="1:13" s="180" customFormat="1" ht="15">
      <c r="A34" s="243"/>
      <c r="B34" s="187" t="s">
        <v>106</v>
      </c>
      <c r="C34" s="249"/>
      <c r="D34" s="250">
        <f>'2012 Detail by Month'!E33</f>
        <v>8601</v>
      </c>
      <c r="E34" s="251">
        <f>'2012 Detail by Month'!AD33</f>
        <v>34415</v>
      </c>
      <c r="F34" s="252" t="s">
        <v>307</v>
      </c>
      <c r="G34" s="249"/>
      <c r="H34" s="249"/>
      <c r="I34" s="249"/>
      <c r="J34" s="249"/>
      <c r="K34" s="249"/>
      <c r="L34" s="249"/>
      <c r="M34" s="253">
        <f t="shared" si="5"/>
        <v>34415</v>
      </c>
    </row>
    <row r="35" spans="1:13" s="180" customFormat="1" ht="15">
      <c r="A35" s="243"/>
      <c r="B35" s="187" t="s">
        <v>308</v>
      </c>
      <c r="C35" s="249"/>
      <c r="D35" s="250">
        <f>'2012 Detail by Month'!E34</f>
        <v>30104</v>
      </c>
      <c r="E35" s="251">
        <f>'2012 Detail by Month'!AD34</f>
        <v>16032</v>
      </c>
      <c r="F35" s="252"/>
      <c r="G35" s="249"/>
      <c r="H35" s="249"/>
      <c r="I35" s="249"/>
      <c r="J35" s="249"/>
      <c r="K35" s="249"/>
      <c r="L35" s="249"/>
      <c r="M35" s="253">
        <f t="shared" si="5"/>
        <v>16032</v>
      </c>
    </row>
    <row r="36" spans="1:13" s="180" customFormat="1" ht="30">
      <c r="A36" s="243"/>
      <c r="B36" s="187" t="s">
        <v>309</v>
      </c>
      <c r="C36" s="249"/>
      <c r="D36" s="250">
        <f>'2012 Detail by Month'!E35</f>
        <v>82188</v>
      </c>
      <c r="E36" s="251">
        <f>'2012 Detail by Month'!AD35</f>
        <v>83155</v>
      </c>
      <c r="F36" s="252" t="s">
        <v>310</v>
      </c>
      <c r="G36" s="249"/>
      <c r="H36" s="249"/>
      <c r="I36" s="249"/>
      <c r="J36" s="249"/>
      <c r="K36" s="249"/>
      <c r="L36" s="249"/>
      <c r="M36" s="253">
        <f t="shared" si="5"/>
        <v>83155</v>
      </c>
    </row>
    <row r="37" spans="1:13" s="180" customFormat="1" ht="30">
      <c r="A37" s="243"/>
      <c r="B37" s="187" t="s">
        <v>311</v>
      </c>
      <c r="C37" s="187"/>
      <c r="D37" s="250">
        <f>'2012 Detail by Month'!E36</f>
        <v>153147</v>
      </c>
      <c r="E37" s="251">
        <f>'2012 Detail by Month'!AD36</f>
        <v>154948</v>
      </c>
      <c r="F37" s="252" t="s">
        <v>312</v>
      </c>
      <c r="G37" s="249"/>
      <c r="H37" s="249"/>
      <c r="I37" s="249"/>
      <c r="J37" s="249"/>
      <c r="K37" s="249"/>
      <c r="L37" s="249"/>
      <c r="M37" s="253">
        <f t="shared" si="5"/>
        <v>154948</v>
      </c>
    </row>
    <row r="38" spans="1:13" s="180" customFormat="1" ht="15">
      <c r="A38" s="243"/>
      <c r="B38" s="187" t="s">
        <v>313</v>
      </c>
      <c r="C38" s="187"/>
      <c r="D38" s="250">
        <f>'2012 Detail by Month'!E37</f>
        <v>31248</v>
      </c>
      <c r="E38" s="251">
        <f>'2012 Detail by Month'!AD37</f>
        <v>31797</v>
      </c>
      <c r="F38" s="264" t="s">
        <v>626</v>
      </c>
      <c r="G38" s="249"/>
      <c r="H38" s="249"/>
      <c r="I38" s="249"/>
      <c r="J38" s="249"/>
      <c r="K38" s="249"/>
      <c r="L38" s="249"/>
      <c r="M38" s="253">
        <f t="shared" si="5"/>
        <v>31797</v>
      </c>
    </row>
    <row r="39" spans="1:13" s="180" customFormat="1" ht="15">
      <c r="A39" s="243"/>
      <c r="B39" s="187" t="s">
        <v>314</v>
      </c>
      <c r="C39" s="187"/>
      <c r="D39" s="250">
        <f>'2012 Detail by Month'!E38</f>
        <v>830863</v>
      </c>
      <c r="E39" s="246">
        <f>'2012 Detail by Month'!AD38</f>
        <v>952710</v>
      </c>
      <c r="F39" s="252" t="s">
        <v>315</v>
      </c>
      <c r="G39" s="249"/>
      <c r="H39" s="249"/>
      <c r="I39" s="249"/>
      <c r="J39" s="249"/>
      <c r="K39" s="249"/>
      <c r="L39" s="249"/>
      <c r="M39" s="253">
        <f t="shared" si="5"/>
        <v>952710</v>
      </c>
    </row>
    <row r="40" spans="1:13" s="248" customFormat="1" ht="15">
      <c r="A40" s="265"/>
      <c r="B40" s="266" t="s">
        <v>281</v>
      </c>
      <c r="C40" s="267"/>
      <c r="D40" s="268">
        <f>SUM(D33:D39)</f>
        <v>1402547</v>
      </c>
      <c r="E40" s="269">
        <f>SUM(E33:E39)</f>
        <v>1542587</v>
      </c>
      <c r="F40" s="270"/>
      <c r="G40" s="267">
        <f>SUM(G33:G39)</f>
        <v>0</v>
      </c>
      <c r="H40" s="267">
        <f t="shared" ref="H40:L40" si="6">SUM(H33:H39)</f>
        <v>0</v>
      </c>
      <c r="I40" s="267">
        <f t="shared" si="6"/>
        <v>0</v>
      </c>
      <c r="J40" s="267">
        <f t="shared" si="6"/>
        <v>0</v>
      </c>
      <c r="K40" s="267">
        <f t="shared" si="6"/>
        <v>0</v>
      </c>
      <c r="L40" s="267">
        <f t="shared" si="6"/>
        <v>0</v>
      </c>
      <c r="M40" s="271"/>
    </row>
    <row r="41" spans="1:13" s="244" customFormat="1" ht="18" customHeight="1" thickBot="1">
      <c r="A41" s="272"/>
      <c r="B41" s="259" t="s">
        <v>282</v>
      </c>
      <c r="C41" s="258"/>
      <c r="D41" s="258">
        <f>D40</f>
        <v>1402547</v>
      </c>
      <c r="E41" s="258">
        <f>D41+E40</f>
        <v>2945134</v>
      </c>
      <c r="F41" s="260"/>
      <c r="G41" s="258">
        <f>E41+G40</f>
        <v>2945134</v>
      </c>
      <c r="H41" s="258">
        <f>G41+H40</f>
        <v>2945134</v>
      </c>
      <c r="I41" s="258">
        <f>H41+I40</f>
        <v>2945134</v>
      </c>
      <c r="J41" s="258">
        <f>I41+J40</f>
        <v>2945134</v>
      </c>
      <c r="K41" s="258">
        <f>J41+K40</f>
        <v>2945134</v>
      </c>
      <c r="L41" s="258">
        <f>K41+L40</f>
        <v>2945134</v>
      </c>
      <c r="M41" s="258">
        <f>SUM(M33:M39)</f>
        <v>1542587</v>
      </c>
    </row>
    <row r="42" spans="1:13" s="180" customFormat="1" ht="16" thickTop="1" thickBot="1">
      <c r="A42" s="243"/>
      <c r="D42" s="245"/>
      <c r="E42" s="273"/>
      <c r="F42" s="274"/>
      <c r="M42" s="248"/>
    </row>
    <row r="43" spans="1:13" s="180" customFormat="1" ht="17" thickBot="1">
      <c r="A43" s="236" t="s">
        <v>316</v>
      </c>
      <c r="B43" s="237"/>
      <c r="C43" s="238"/>
      <c r="D43" s="238"/>
      <c r="E43" s="239"/>
      <c r="F43" s="240"/>
      <c r="G43" s="238"/>
      <c r="H43" s="238"/>
      <c r="I43" s="238"/>
      <c r="J43" s="238"/>
      <c r="K43" s="238"/>
      <c r="L43" s="238"/>
      <c r="M43" s="241"/>
    </row>
    <row r="44" spans="1:13" s="180" customFormat="1" ht="15">
      <c r="A44" s="243"/>
      <c r="B44" s="180" t="s">
        <v>317</v>
      </c>
      <c r="C44" s="261"/>
      <c r="D44" s="250">
        <f>'2012 Detail by Month'!E42</f>
        <v>21293.220000000005</v>
      </c>
      <c r="E44" s="246">
        <f>'2012 Detail by Month'!AD42</f>
        <v>21506</v>
      </c>
      <c r="F44" s="275"/>
      <c r="G44" s="261"/>
      <c r="H44" s="261"/>
      <c r="I44" s="261"/>
      <c r="J44" s="261"/>
      <c r="K44" s="261"/>
      <c r="L44" s="261"/>
      <c r="M44" s="253">
        <f t="shared" ref="M44:M45" si="7">E44+G44+H44+I44+J44+K44+L44</f>
        <v>21506</v>
      </c>
    </row>
    <row r="45" spans="1:13" s="180" customFormat="1" ht="45">
      <c r="A45" s="243"/>
      <c r="B45" s="187" t="s">
        <v>11</v>
      </c>
      <c r="C45" s="249"/>
      <c r="D45" s="250">
        <f>'2012 Detail by Month'!E43</f>
        <v>713397.46</v>
      </c>
      <c r="E45" s="251">
        <f>'2012 Detail by Month'!AD43</f>
        <v>270030</v>
      </c>
      <c r="F45" s="257" t="s">
        <v>582</v>
      </c>
      <c r="G45" s="249"/>
      <c r="H45" s="249"/>
      <c r="I45" s="249"/>
      <c r="J45" s="249"/>
      <c r="K45" s="249"/>
      <c r="L45" s="249"/>
      <c r="M45" s="253">
        <f t="shared" si="7"/>
        <v>270030</v>
      </c>
    </row>
    <row r="46" spans="1:13" s="248" customFormat="1" ht="15">
      <c r="A46" s="265"/>
      <c r="B46" s="266" t="s">
        <v>281</v>
      </c>
      <c r="C46" s="267"/>
      <c r="D46" s="268">
        <f>SUM(D44:D45)</f>
        <v>734690.67999999993</v>
      </c>
      <c r="E46" s="269">
        <f>SUM(E44:E45)</f>
        <v>291536</v>
      </c>
      <c r="F46" s="270"/>
      <c r="G46" s="267">
        <f t="shared" ref="G46:L46" si="8">SUM(G44:G45)</f>
        <v>0</v>
      </c>
      <c r="H46" s="267">
        <f t="shared" si="8"/>
        <v>0</v>
      </c>
      <c r="I46" s="267">
        <f t="shared" si="8"/>
        <v>0</v>
      </c>
      <c r="J46" s="267">
        <f t="shared" si="8"/>
        <v>0</v>
      </c>
      <c r="K46" s="267">
        <f t="shared" si="8"/>
        <v>0</v>
      </c>
      <c r="L46" s="267">
        <f t="shared" si="8"/>
        <v>0</v>
      </c>
      <c r="M46" s="271"/>
    </row>
    <row r="47" spans="1:13" s="244" customFormat="1" ht="18" customHeight="1" thickBot="1">
      <c r="A47" s="272"/>
      <c r="B47" s="259" t="s">
        <v>282</v>
      </c>
      <c r="C47" s="258"/>
      <c r="D47" s="258">
        <f>D46</f>
        <v>734690.67999999993</v>
      </c>
      <c r="E47" s="258">
        <f>D47+E46</f>
        <v>1026226.6799999999</v>
      </c>
      <c r="F47" s="260"/>
      <c r="G47" s="258">
        <f>E47+G46</f>
        <v>1026226.6799999999</v>
      </c>
      <c r="H47" s="258">
        <f>G47+H46</f>
        <v>1026226.6799999999</v>
      </c>
      <c r="I47" s="258">
        <f>H47+I46</f>
        <v>1026226.6799999999</v>
      </c>
      <c r="J47" s="258">
        <f>I47+J46</f>
        <v>1026226.6799999999</v>
      </c>
      <c r="K47" s="258">
        <f>J47+K46</f>
        <v>1026226.6799999999</v>
      </c>
      <c r="L47" s="258">
        <f>K47+L46</f>
        <v>1026226.6799999999</v>
      </c>
      <c r="M47" s="258">
        <f>SUM(M44:M45)</f>
        <v>291536</v>
      </c>
    </row>
    <row r="48" spans="1:13" s="180" customFormat="1" ht="15" thickTop="1">
      <c r="A48" s="243"/>
      <c r="D48" s="245"/>
      <c r="E48" s="273"/>
      <c r="F48" s="274"/>
      <c r="M48" s="248"/>
    </row>
    <row r="49" spans="1:17" s="235" customFormat="1" ht="20" thickBot="1">
      <c r="A49" s="229" t="s">
        <v>318</v>
      </c>
      <c r="B49" s="230"/>
      <c r="C49" s="231"/>
      <c r="D49" s="232"/>
      <c r="E49" s="233"/>
      <c r="F49" s="234"/>
      <c r="G49" s="234"/>
      <c r="H49" s="234"/>
      <c r="I49" s="234"/>
      <c r="J49" s="234"/>
      <c r="K49" s="234"/>
      <c r="L49" s="234"/>
      <c r="M49" s="234"/>
      <c r="N49" s="234"/>
      <c r="O49" s="234"/>
      <c r="P49" s="234"/>
      <c r="Q49" s="234"/>
    </row>
    <row r="50" spans="1:17" s="180" customFormat="1" ht="17" thickBot="1">
      <c r="A50" s="236" t="s">
        <v>304</v>
      </c>
      <c r="B50" s="237"/>
      <c r="C50" s="238"/>
      <c r="D50" s="238"/>
      <c r="E50" s="239"/>
      <c r="F50" s="240"/>
      <c r="G50" s="238"/>
      <c r="H50" s="238"/>
      <c r="I50" s="238"/>
      <c r="J50" s="238"/>
      <c r="K50" s="238"/>
      <c r="L50" s="238"/>
      <c r="M50" s="241"/>
    </row>
    <row r="51" spans="1:17" s="180" customFormat="1" ht="30">
      <c r="A51" s="243"/>
      <c r="B51" s="180" t="s">
        <v>243</v>
      </c>
      <c r="D51" s="250">
        <f>'2012 Detail by Month'!E48</f>
        <v>444089</v>
      </c>
      <c r="E51" s="246">
        <f>'2012 Detail by Month'!AD48</f>
        <v>447271</v>
      </c>
      <c r="F51" s="276" t="s">
        <v>319</v>
      </c>
      <c r="M51" s="253">
        <f t="shared" ref="M51:M56" si="9">E51+G51+H51+I51+J51+K51+L51</f>
        <v>447271</v>
      </c>
    </row>
    <row r="52" spans="1:17" s="180" customFormat="1" ht="30">
      <c r="A52" s="243"/>
      <c r="B52" s="187" t="s">
        <v>320</v>
      </c>
      <c r="C52" s="187"/>
      <c r="D52" s="250">
        <f>'2012 Detail by Month'!E49</f>
        <v>48394</v>
      </c>
      <c r="E52" s="251">
        <f>'2012 Detail by Month'!AD49</f>
        <v>50755</v>
      </c>
      <c r="F52" s="252" t="s">
        <v>321</v>
      </c>
      <c r="G52" s="187"/>
      <c r="H52" s="187"/>
      <c r="I52" s="187"/>
      <c r="J52" s="187"/>
      <c r="K52" s="187"/>
      <c r="L52" s="187"/>
      <c r="M52" s="253">
        <f t="shared" si="9"/>
        <v>50755</v>
      </c>
    </row>
    <row r="53" spans="1:17" s="180" customFormat="1" ht="30">
      <c r="A53" s="243"/>
      <c r="B53" s="187" t="s">
        <v>322</v>
      </c>
      <c r="C53" s="187"/>
      <c r="D53" s="250">
        <f>'2012 Detail by Month'!E50</f>
        <v>33675</v>
      </c>
      <c r="E53" s="251">
        <f>'2012 Detail by Month'!AD50</f>
        <v>7987</v>
      </c>
      <c r="F53" s="252" t="s">
        <v>323</v>
      </c>
      <c r="G53" s="187"/>
      <c r="H53" s="187"/>
      <c r="I53" s="187"/>
      <c r="J53" s="187"/>
      <c r="K53" s="187"/>
      <c r="L53" s="187"/>
      <c r="M53" s="253">
        <f t="shared" si="9"/>
        <v>7987</v>
      </c>
    </row>
    <row r="54" spans="1:17" s="180" customFormat="1" ht="30">
      <c r="A54" s="243"/>
      <c r="B54" s="187" t="s">
        <v>19</v>
      </c>
      <c r="C54" s="187"/>
      <c r="D54" s="250">
        <f>'2012 Detail by Month'!E51</f>
        <v>52727</v>
      </c>
      <c r="E54" s="251">
        <f>'2012 Detail by Month'!AD51</f>
        <v>52727</v>
      </c>
      <c r="F54" s="252" t="s">
        <v>324</v>
      </c>
      <c r="G54" s="187"/>
      <c r="H54" s="187"/>
      <c r="I54" s="187"/>
      <c r="J54" s="187"/>
      <c r="K54" s="187"/>
      <c r="L54" s="187"/>
      <c r="M54" s="253">
        <f t="shared" si="9"/>
        <v>52727</v>
      </c>
    </row>
    <row r="55" spans="1:17" s="180" customFormat="1" ht="30">
      <c r="A55" s="243"/>
      <c r="B55" s="187" t="s">
        <v>325</v>
      </c>
      <c r="C55" s="187"/>
      <c r="D55" s="250">
        <f>'2012 Detail by Month'!E52</f>
        <v>26660</v>
      </c>
      <c r="E55" s="251">
        <f>'2012 Detail by Month'!AD52</f>
        <v>27539</v>
      </c>
      <c r="F55" s="252" t="s">
        <v>321</v>
      </c>
      <c r="G55" s="187"/>
      <c r="H55" s="187"/>
      <c r="I55" s="187"/>
      <c r="J55" s="187"/>
      <c r="K55" s="187"/>
      <c r="L55" s="187"/>
      <c r="M55" s="253">
        <f t="shared" si="9"/>
        <v>27539</v>
      </c>
    </row>
    <row r="56" spans="1:17" s="180" customFormat="1" ht="15">
      <c r="A56" s="243"/>
      <c r="B56" s="180" t="s">
        <v>4</v>
      </c>
      <c r="D56" s="250">
        <f>'2012 Detail by Month'!E53</f>
        <v>2837</v>
      </c>
      <c r="E56" s="246">
        <f>'2012 Detail by Month'!AD53</f>
        <v>0</v>
      </c>
      <c r="F56" s="276"/>
      <c r="M56" s="253">
        <f t="shared" si="9"/>
        <v>0</v>
      </c>
    </row>
    <row r="57" spans="1:17" s="248" customFormat="1" ht="15">
      <c r="A57" s="265"/>
      <c r="B57" s="266" t="s">
        <v>281</v>
      </c>
      <c r="C57" s="267"/>
      <c r="D57" s="268">
        <f>SUM(D51:D56)</f>
        <v>608382</v>
      </c>
      <c r="E57" s="269">
        <f>SUM(E50:E56)</f>
        <v>586279</v>
      </c>
      <c r="F57" s="270"/>
      <c r="G57" s="267">
        <f>SUM(G50:G56)</f>
        <v>0</v>
      </c>
      <c r="H57" s="267">
        <f t="shared" ref="H57:L57" si="10">SUM(H50:H56)</f>
        <v>0</v>
      </c>
      <c r="I57" s="267">
        <f t="shared" si="10"/>
        <v>0</v>
      </c>
      <c r="J57" s="267">
        <f t="shared" si="10"/>
        <v>0</v>
      </c>
      <c r="K57" s="267">
        <f t="shared" si="10"/>
        <v>0</v>
      </c>
      <c r="L57" s="267">
        <f t="shared" si="10"/>
        <v>0</v>
      </c>
      <c r="M57" s="271"/>
    </row>
    <row r="58" spans="1:17" s="244" customFormat="1" ht="19.5" customHeight="1" thickBot="1">
      <c r="A58" s="272"/>
      <c r="B58" s="259" t="s">
        <v>282</v>
      </c>
      <c r="C58" s="258"/>
      <c r="D58" s="258">
        <f>D57</f>
        <v>608382</v>
      </c>
      <c r="E58" s="258">
        <f>D58+E57</f>
        <v>1194661</v>
      </c>
      <c r="F58" s="260"/>
      <c r="G58" s="258">
        <f>E58+G57</f>
        <v>1194661</v>
      </c>
      <c r="H58" s="258">
        <f>G58+H57</f>
        <v>1194661</v>
      </c>
      <c r="I58" s="258">
        <f>H58+I57</f>
        <v>1194661</v>
      </c>
      <c r="J58" s="258">
        <f>I58+J57</f>
        <v>1194661</v>
      </c>
      <c r="K58" s="258">
        <f>J58+K57</f>
        <v>1194661</v>
      </c>
      <c r="L58" s="258">
        <f>K58+L57</f>
        <v>1194661</v>
      </c>
      <c r="M58" s="258">
        <f>SUM(M51:M56)</f>
        <v>586279</v>
      </c>
    </row>
    <row r="59" spans="1:17" s="180" customFormat="1" ht="15" thickTop="1">
      <c r="A59" s="243"/>
      <c r="D59" s="245"/>
      <c r="E59" s="273"/>
      <c r="F59" s="274"/>
      <c r="M59" s="248"/>
    </row>
    <row r="60" spans="1:17" s="235" customFormat="1" ht="20" thickBot="1">
      <c r="A60" s="229" t="s">
        <v>326</v>
      </c>
      <c r="B60" s="230"/>
      <c r="C60" s="231"/>
      <c r="D60" s="232"/>
      <c r="E60" s="233"/>
      <c r="F60" s="234"/>
      <c r="G60" s="234"/>
      <c r="H60" s="234"/>
      <c r="I60" s="234"/>
      <c r="J60" s="234"/>
      <c r="K60" s="234"/>
      <c r="L60" s="234"/>
      <c r="M60" s="234"/>
      <c r="N60" s="234"/>
      <c r="O60" s="234"/>
      <c r="P60" s="234"/>
      <c r="Q60" s="234"/>
    </row>
    <row r="61" spans="1:17" s="180" customFormat="1" ht="17" thickBot="1">
      <c r="A61" s="236" t="s">
        <v>304</v>
      </c>
      <c r="B61" s="237"/>
      <c r="C61" s="238"/>
      <c r="D61" s="238"/>
      <c r="E61" s="239"/>
      <c r="F61" s="240"/>
      <c r="G61" s="238"/>
      <c r="H61" s="238"/>
      <c r="I61" s="238"/>
      <c r="J61" s="238"/>
      <c r="K61" s="238"/>
      <c r="L61" s="238"/>
      <c r="M61" s="241"/>
    </row>
    <row r="62" spans="1:17" s="180" customFormat="1" ht="15">
      <c r="A62" s="243"/>
      <c r="B62" s="180" t="s">
        <v>327</v>
      </c>
      <c r="D62" s="250">
        <f>'2012 Detail by Month'!E58</f>
        <v>68279.77</v>
      </c>
      <c r="E62" s="246">
        <f>'2012 Detail by Month'!AD58</f>
        <v>69195</v>
      </c>
      <c r="F62" s="276"/>
      <c r="M62" s="253">
        <f t="shared" ref="M62:M65" si="11">E62+G62+H62+I62+J62+K62+L62</f>
        <v>69195</v>
      </c>
    </row>
    <row r="63" spans="1:17" s="180" customFormat="1" ht="15">
      <c r="A63" s="243"/>
      <c r="B63" s="187" t="s">
        <v>328</v>
      </c>
      <c r="C63" s="187"/>
      <c r="D63" s="250">
        <f>'2012 Detail by Month'!E59</f>
        <v>66276.52</v>
      </c>
      <c r="E63" s="251">
        <f>'2012 Detail by Month'!AD59</f>
        <v>67089</v>
      </c>
      <c r="F63" s="252"/>
      <c r="G63" s="187"/>
      <c r="H63" s="187"/>
      <c r="I63" s="187"/>
      <c r="J63" s="187"/>
      <c r="K63" s="187"/>
      <c r="L63" s="187"/>
      <c r="M63" s="253">
        <f t="shared" si="11"/>
        <v>67089</v>
      </c>
    </row>
    <row r="64" spans="1:17" s="180" customFormat="1" ht="15">
      <c r="A64" s="243"/>
      <c r="B64" s="187" t="s">
        <v>329</v>
      </c>
      <c r="C64" s="187"/>
      <c r="D64" s="250">
        <f>'2012 Detail by Month'!E60</f>
        <v>2597.5899999999965</v>
      </c>
      <c r="E64" s="251">
        <f>'2012 Detail by Month'!AD60</f>
        <v>2598</v>
      </c>
      <c r="F64" s="252"/>
      <c r="G64" s="187"/>
      <c r="H64" s="187"/>
      <c r="I64" s="187"/>
      <c r="J64" s="187"/>
      <c r="K64" s="187"/>
      <c r="L64" s="187"/>
      <c r="M64" s="253">
        <f t="shared" si="11"/>
        <v>2598</v>
      </c>
    </row>
    <row r="65" spans="1:13" s="180" customFormat="1" ht="15">
      <c r="A65" s="243"/>
      <c r="B65" s="187" t="s">
        <v>23</v>
      </c>
      <c r="C65" s="187"/>
      <c r="D65" s="250">
        <f>'2012 Detail by Month'!E61</f>
        <v>240.11000000000786</v>
      </c>
      <c r="E65" s="246">
        <f>'2012 Detail by Month'!AD61</f>
        <v>476</v>
      </c>
      <c r="F65" s="252"/>
      <c r="G65" s="187"/>
      <c r="H65" s="187"/>
      <c r="I65" s="187"/>
      <c r="J65" s="187"/>
      <c r="K65" s="187"/>
      <c r="L65" s="187"/>
      <c r="M65" s="253">
        <f t="shared" si="11"/>
        <v>476</v>
      </c>
    </row>
    <row r="66" spans="1:13" s="248" customFormat="1" ht="15">
      <c r="A66" s="265"/>
      <c r="B66" s="266" t="s">
        <v>281</v>
      </c>
      <c r="C66" s="267"/>
      <c r="D66" s="268">
        <f>SUM(D62:D65)</f>
        <v>137393.99000000002</v>
      </c>
      <c r="E66" s="269">
        <f>SUM(E61:E65)</f>
        <v>139358</v>
      </c>
      <c r="F66" s="270"/>
      <c r="G66" s="267">
        <f t="shared" ref="G66:L66" si="12">SUM(G61:G65)</f>
        <v>0</v>
      </c>
      <c r="H66" s="267">
        <f t="shared" si="12"/>
        <v>0</v>
      </c>
      <c r="I66" s="267">
        <f t="shared" si="12"/>
        <v>0</v>
      </c>
      <c r="J66" s="267">
        <f t="shared" si="12"/>
        <v>0</v>
      </c>
      <c r="K66" s="267">
        <f t="shared" si="12"/>
        <v>0</v>
      </c>
      <c r="L66" s="267">
        <f t="shared" si="12"/>
        <v>0</v>
      </c>
      <c r="M66" s="271"/>
    </row>
    <row r="67" spans="1:13" s="244" customFormat="1" ht="19.5" customHeight="1" thickBot="1">
      <c r="A67" s="272"/>
      <c r="B67" s="259" t="s">
        <v>282</v>
      </c>
      <c r="C67" s="258"/>
      <c r="D67" s="258">
        <f>D66</f>
        <v>137393.99000000002</v>
      </c>
      <c r="E67" s="258">
        <f>D67+E66</f>
        <v>276751.99</v>
      </c>
      <c r="F67" s="260"/>
      <c r="G67" s="258">
        <f>E67+G66</f>
        <v>276751.99</v>
      </c>
      <c r="H67" s="258">
        <f>G67+H66</f>
        <v>276751.99</v>
      </c>
      <c r="I67" s="258">
        <f>H67+I66</f>
        <v>276751.99</v>
      </c>
      <c r="J67" s="258">
        <f>I67+J66</f>
        <v>276751.99</v>
      </c>
      <c r="K67" s="258">
        <f>J67+K66</f>
        <v>276751.99</v>
      </c>
      <c r="L67" s="258">
        <f>K67+L66</f>
        <v>276751.99</v>
      </c>
      <c r="M67" s="258">
        <f>SUM(M62:M65)</f>
        <v>139358</v>
      </c>
    </row>
    <row r="68" spans="1:13" s="180" customFormat="1" ht="15" thickTop="1">
      <c r="A68" s="243"/>
      <c r="D68" s="245"/>
      <c r="E68" s="273"/>
      <c r="F68" s="274"/>
      <c r="M68" s="248"/>
    </row>
    <row r="69" spans="1:13" s="180" customFormat="1">
      <c r="A69" s="243"/>
      <c r="D69" s="245"/>
      <c r="E69" s="273"/>
      <c r="F69" s="277"/>
      <c r="M69" s="248"/>
    </row>
    <row r="70" spans="1:13" s="180" customFormat="1">
      <c r="A70" s="243"/>
      <c r="D70" s="245"/>
      <c r="E70" s="273"/>
      <c r="F70" s="277"/>
      <c r="M70" s="248"/>
    </row>
    <row r="71" spans="1:13" s="180" customFormat="1">
      <c r="A71" s="243"/>
      <c r="D71" s="245"/>
      <c r="E71" s="273"/>
      <c r="F71" s="277"/>
      <c r="M71" s="248"/>
    </row>
    <row r="72" spans="1:13" s="180" customFormat="1">
      <c r="A72" s="243"/>
      <c r="D72" s="245"/>
      <c r="E72" s="273"/>
      <c r="F72" s="277"/>
      <c r="M72" s="248"/>
    </row>
    <row r="73" spans="1:13" s="180" customFormat="1">
      <c r="A73" s="243"/>
      <c r="D73" s="245"/>
      <c r="E73" s="273"/>
      <c r="F73" s="277"/>
      <c r="M73" s="248"/>
    </row>
    <row r="74" spans="1:13" s="180" customFormat="1">
      <c r="A74" s="243"/>
      <c r="D74" s="245"/>
      <c r="E74" s="273"/>
      <c r="F74" s="277"/>
      <c r="M74" s="248"/>
    </row>
    <row r="75" spans="1:13" s="180" customFormat="1">
      <c r="A75" s="243"/>
      <c r="D75" s="245"/>
      <c r="E75" s="273"/>
      <c r="F75" s="277"/>
      <c r="M75" s="248"/>
    </row>
    <row r="76" spans="1:13" s="180" customFormat="1">
      <c r="A76" s="243"/>
      <c r="D76" s="245"/>
      <c r="E76" s="273"/>
      <c r="F76" s="277"/>
      <c r="M76" s="248"/>
    </row>
    <row r="77" spans="1:13" s="180" customFormat="1">
      <c r="A77" s="243"/>
      <c r="D77" s="245"/>
      <c r="E77" s="273"/>
      <c r="F77" s="277"/>
      <c r="M77" s="248"/>
    </row>
    <row r="78" spans="1:13" s="180" customFormat="1">
      <c r="A78" s="243"/>
      <c r="D78" s="245"/>
      <c r="E78" s="273"/>
      <c r="F78" s="277"/>
      <c r="M78" s="248"/>
    </row>
    <row r="79" spans="1:13" s="180" customFormat="1">
      <c r="A79" s="243"/>
      <c r="D79" s="245"/>
      <c r="E79" s="273"/>
      <c r="F79" s="277"/>
      <c r="M79" s="248"/>
    </row>
    <row r="80" spans="1:13" s="180" customFormat="1">
      <c r="A80" s="243"/>
      <c r="D80" s="245"/>
      <c r="E80" s="273"/>
      <c r="F80" s="277"/>
      <c r="M80" s="248"/>
    </row>
    <row r="81" spans="1:13" s="180" customFormat="1">
      <c r="A81" s="243"/>
      <c r="D81" s="245"/>
      <c r="E81" s="273"/>
      <c r="F81" s="277"/>
      <c r="M81" s="248"/>
    </row>
    <row r="82" spans="1:13" s="180" customFormat="1">
      <c r="A82" s="243"/>
      <c r="D82" s="245"/>
      <c r="E82" s="273"/>
      <c r="F82" s="277"/>
      <c r="M82" s="248"/>
    </row>
    <row r="83" spans="1:13" s="180" customFormat="1">
      <c r="A83" s="243"/>
      <c r="D83" s="245"/>
      <c r="E83" s="273"/>
      <c r="F83" s="277"/>
      <c r="M83" s="248"/>
    </row>
    <row r="84" spans="1:13" s="180" customFormat="1">
      <c r="A84" s="243"/>
      <c r="D84" s="245"/>
      <c r="E84" s="273"/>
      <c r="F84" s="277"/>
      <c r="M84" s="248"/>
    </row>
    <row r="85" spans="1:13" s="180" customFormat="1">
      <c r="A85" s="243"/>
      <c r="D85" s="245"/>
      <c r="E85" s="273"/>
      <c r="F85" s="277"/>
      <c r="M85" s="248"/>
    </row>
    <row r="86" spans="1:13" s="180" customFormat="1">
      <c r="A86" s="243"/>
      <c r="D86" s="245"/>
      <c r="E86" s="273"/>
      <c r="F86" s="277"/>
      <c r="M86" s="248"/>
    </row>
    <row r="87" spans="1:13" s="180" customFormat="1">
      <c r="A87" s="243"/>
      <c r="D87" s="245"/>
      <c r="E87" s="273"/>
      <c r="F87" s="277"/>
      <c r="M87" s="248"/>
    </row>
    <row r="88" spans="1:13" s="180" customFormat="1">
      <c r="A88" s="243"/>
      <c r="D88" s="245"/>
      <c r="E88" s="273"/>
      <c r="F88" s="277"/>
      <c r="M88" s="248"/>
    </row>
    <row r="89" spans="1:13" s="180" customFormat="1">
      <c r="A89" s="243"/>
      <c r="D89" s="245"/>
      <c r="E89" s="273"/>
      <c r="F89" s="277"/>
      <c r="M89" s="248"/>
    </row>
    <row r="90" spans="1:13" s="180" customFormat="1">
      <c r="A90" s="243"/>
      <c r="D90" s="245"/>
      <c r="E90" s="273"/>
      <c r="F90" s="277"/>
      <c r="M90" s="248"/>
    </row>
    <row r="91" spans="1:13" s="180" customFormat="1">
      <c r="A91" s="243"/>
      <c r="D91" s="245"/>
      <c r="E91" s="273"/>
      <c r="F91" s="277"/>
      <c r="M91" s="248"/>
    </row>
    <row r="92" spans="1:13" s="180" customFormat="1">
      <c r="A92" s="243"/>
      <c r="D92" s="245"/>
      <c r="E92" s="273"/>
      <c r="F92" s="277"/>
      <c r="M92" s="248"/>
    </row>
    <row r="93" spans="1:13" s="180" customFormat="1">
      <c r="A93" s="243"/>
      <c r="D93" s="245"/>
      <c r="E93" s="273"/>
      <c r="F93" s="277"/>
      <c r="M93" s="248"/>
    </row>
    <row r="94" spans="1:13" s="180" customFormat="1">
      <c r="A94" s="243"/>
      <c r="D94" s="245"/>
      <c r="E94" s="273"/>
      <c r="F94" s="277"/>
      <c r="M94" s="248"/>
    </row>
    <row r="95" spans="1:13" s="180" customFormat="1">
      <c r="A95" s="243"/>
      <c r="D95" s="245"/>
      <c r="E95" s="273"/>
      <c r="F95" s="277"/>
      <c r="M95" s="248"/>
    </row>
    <row r="96" spans="1:13" s="180" customFormat="1">
      <c r="A96" s="243"/>
      <c r="D96" s="245"/>
      <c r="E96" s="273"/>
      <c r="F96" s="277"/>
      <c r="M96" s="248"/>
    </row>
    <row r="97" spans="1:13" s="180" customFormat="1">
      <c r="A97" s="243"/>
      <c r="D97" s="245"/>
      <c r="E97" s="273"/>
      <c r="F97" s="277"/>
      <c r="M97" s="248"/>
    </row>
    <row r="98" spans="1:13" s="180" customFormat="1">
      <c r="A98" s="243"/>
      <c r="D98" s="245"/>
      <c r="E98" s="273"/>
      <c r="F98" s="277"/>
      <c r="M98" s="248"/>
    </row>
    <row r="99" spans="1:13" s="180" customFormat="1">
      <c r="A99" s="243"/>
      <c r="D99" s="245"/>
      <c r="E99" s="273"/>
      <c r="F99" s="277"/>
      <c r="M99" s="248"/>
    </row>
    <row r="100" spans="1:13" s="180" customFormat="1">
      <c r="A100" s="243"/>
      <c r="D100" s="245"/>
      <c r="E100" s="273"/>
      <c r="F100" s="277"/>
      <c r="M100" s="248"/>
    </row>
    <row r="101" spans="1:13" s="180" customFormat="1">
      <c r="A101" s="243"/>
      <c r="D101" s="245"/>
      <c r="E101" s="273"/>
      <c r="F101" s="277"/>
      <c r="M101" s="248"/>
    </row>
    <row r="102" spans="1:13" s="180" customFormat="1">
      <c r="A102" s="243"/>
      <c r="D102" s="245"/>
      <c r="E102" s="273"/>
      <c r="F102" s="277"/>
      <c r="M102" s="248"/>
    </row>
    <row r="103" spans="1:13" s="180" customFormat="1">
      <c r="A103" s="243"/>
      <c r="D103" s="245"/>
      <c r="E103" s="273"/>
      <c r="F103" s="277"/>
      <c r="M103" s="248"/>
    </row>
    <row r="104" spans="1:13" s="180" customFormat="1">
      <c r="A104" s="243"/>
      <c r="D104" s="245"/>
      <c r="E104" s="273"/>
      <c r="F104" s="277"/>
      <c r="M104" s="248"/>
    </row>
    <row r="105" spans="1:13" s="180" customFormat="1">
      <c r="A105" s="243"/>
      <c r="D105" s="245"/>
      <c r="E105" s="273"/>
      <c r="F105" s="277"/>
      <c r="M105" s="248"/>
    </row>
    <row r="106" spans="1:13" s="180" customFormat="1">
      <c r="A106" s="243"/>
      <c r="D106" s="245"/>
      <c r="E106" s="273"/>
      <c r="F106" s="277"/>
      <c r="M106" s="248"/>
    </row>
    <row r="107" spans="1:13" s="180" customFormat="1">
      <c r="A107" s="243"/>
      <c r="D107" s="245"/>
      <c r="E107" s="273"/>
      <c r="F107" s="277"/>
      <c r="M107" s="248"/>
    </row>
    <row r="108" spans="1:13" s="180" customFormat="1">
      <c r="A108" s="243"/>
      <c r="D108" s="245"/>
      <c r="E108" s="273"/>
      <c r="F108" s="277"/>
      <c r="M108" s="248"/>
    </row>
    <row r="109" spans="1:13" s="180" customFormat="1">
      <c r="A109" s="243"/>
      <c r="D109" s="245"/>
      <c r="E109" s="273"/>
      <c r="F109" s="277"/>
      <c r="M109" s="248"/>
    </row>
    <row r="110" spans="1:13" s="180" customFormat="1">
      <c r="A110" s="243"/>
      <c r="D110" s="245"/>
      <c r="E110" s="273"/>
      <c r="F110" s="277"/>
      <c r="M110" s="248"/>
    </row>
    <row r="111" spans="1:13" s="180" customFormat="1">
      <c r="A111" s="243"/>
      <c r="D111" s="245"/>
      <c r="E111" s="273"/>
      <c r="F111" s="277"/>
      <c r="M111" s="248"/>
    </row>
    <row r="112" spans="1:13" s="180" customFormat="1">
      <c r="A112" s="243"/>
      <c r="D112" s="245"/>
      <c r="E112" s="273"/>
      <c r="F112" s="277"/>
      <c r="M112" s="248"/>
    </row>
    <row r="113" spans="1:13" s="180" customFormat="1">
      <c r="A113" s="243"/>
      <c r="D113" s="245"/>
      <c r="E113" s="273"/>
      <c r="F113" s="277"/>
      <c r="M113" s="248"/>
    </row>
    <row r="114" spans="1:13" s="180" customFormat="1">
      <c r="A114" s="243"/>
      <c r="D114" s="245"/>
      <c r="E114" s="273"/>
      <c r="F114" s="277"/>
      <c r="M114" s="248"/>
    </row>
    <row r="115" spans="1:13" s="180" customFormat="1">
      <c r="A115" s="243"/>
      <c r="D115" s="245"/>
      <c r="E115" s="273"/>
      <c r="F115" s="277"/>
      <c r="M115" s="248"/>
    </row>
    <row r="116" spans="1:13" s="180" customFormat="1">
      <c r="A116" s="243"/>
      <c r="D116" s="245"/>
      <c r="E116" s="273"/>
      <c r="F116" s="277"/>
      <c r="M116" s="248"/>
    </row>
    <row r="117" spans="1:13" s="180" customFormat="1">
      <c r="A117" s="243"/>
      <c r="D117" s="245"/>
      <c r="E117" s="273"/>
      <c r="F117" s="277"/>
      <c r="M117" s="248"/>
    </row>
    <row r="118" spans="1:13" s="180" customFormat="1">
      <c r="A118" s="243"/>
      <c r="D118" s="245"/>
      <c r="E118" s="273"/>
      <c r="F118" s="277"/>
      <c r="M118" s="248"/>
    </row>
    <row r="119" spans="1:13" s="180" customFormat="1">
      <c r="A119" s="243"/>
      <c r="D119" s="245"/>
      <c r="E119" s="273"/>
      <c r="F119" s="277"/>
      <c r="M119" s="248"/>
    </row>
    <row r="120" spans="1:13" s="180" customFormat="1">
      <c r="A120" s="243"/>
      <c r="D120" s="245"/>
      <c r="E120" s="273"/>
      <c r="F120" s="277"/>
      <c r="M120" s="248"/>
    </row>
    <row r="121" spans="1:13" s="180" customFormat="1">
      <c r="A121" s="243"/>
      <c r="D121" s="245"/>
      <c r="E121" s="273"/>
      <c r="F121" s="277"/>
      <c r="M121" s="248"/>
    </row>
    <row r="122" spans="1:13" s="180" customFormat="1">
      <c r="A122" s="243"/>
      <c r="D122" s="245"/>
      <c r="E122" s="273"/>
      <c r="F122" s="277"/>
      <c r="M122" s="248"/>
    </row>
    <row r="123" spans="1:13" s="180" customFormat="1">
      <c r="A123" s="243"/>
      <c r="D123" s="245"/>
      <c r="E123" s="273"/>
      <c r="F123" s="277"/>
      <c r="M123" s="248"/>
    </row>
    <row r="124" spans="1:13" s="180" customFormat="1">
      <c r="A124" s="243"/>
      <c r="D124" s="245"/>
      <c r="E124" s="273"/>
      <c r="F124" s="277"/>
      <c r="M124" s="248"/>
    </row>
    <row r="125" spans="1:13" s="180" customFormat="1">
      <c r="A125" s="243"/>
      <c r="D125" s="245"/>
      <c r="E125" s="273"/>
      <c r="F125" s="277"/>
      <c r="M125" s="248"/>
    </row>
    <row r="126" spans="1:13" s="180" customFormat="1">
      <c r="A126" s="243"/>
      <c r="D126" s="245"/>
      <c r="E126" s="273"/>
      <c r="F126" s="277"/>
      <c r="M126" s="248"/>
    </row>
    <row r="127" spans="1:13" s="180" customFormat="1">
      <c r="A127" s="243"/>
      <c r="D127" s="245"/>
      <c r="E127" s="273"/>
      <c r="F127" s="277"/>
      <c r="M127" s="248"/>
    </row>
    <row r="128" spans="1:13" s="180" customFormat="1">
      <c r="A128" s="243"/>
      <c r="D128" s="245"/>
      <c r="E128" s="273"/>
      <c r="F128" s="277"/>
      <c r="M128" s="248"/>
    </row>
    <row r="129" spans="1:13" s="180" customFormat="1">
      <c r="A129" s="243"/>
      <c r="D129" s="245"/>
      <c r="E129" s="273"/>
      <c r="F129" s="277"/>
      <c r="M129" s="248"/>
    </row>
    <row r="130" spans="1:13" s="180" customFormat="1">
      <c r="A130" s="243"/>
      <c r="D130" s="245"/>
      <c r="E130" s="273"/>
      <c r="F130" s="277"/>
      <c r="M130" s="248"/>
    </row>
  </sheetData>
  <mergeCells count="1">
    <mergeCell ref="A1:B1"/>
  </mergeCells>
  <pageMargins left="0.31" right="0.18" top="0.35" bottom="0.28999999999999998" header="0.17" footer="0.17"/>
  <pageSetup paperSize="5" scale="90" orientation="landscape" r:id="rId1"/>
  <headerFooter>
    <oddHeader>&amp;C&amp;"-,Bold"MHL DEBT PAYMENT SCHEDULE - 2012 to 2018</oddHeader>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7030A0"/>
  </sheetPr>
  <dimension ref="A1:AE126"/>
  <sheetViews>
    <sheetView zoomScale="95" zoomScaleNormal="95" workbookViewId="0">
      <pane xSplit="5" ySplit="1" topLeftCell="F2" activePane="bottomRight" state="frozen"/>
      <selection pane="topRight" activeCell="E1" sqref="E1"/>
      <selection pane="bottomLeft" activeCell="A2" sqref="A2"/>
      <selection pane="bottomRight" activeCell="A58" sqref="A58"/>
    </sheetView>
  </sheetViews>
  <sheetFormatPr baseColWidth="10" defaultColWidth="9.1640625" defaultRowHeight="15"/>
  <cols>
    <col min="1" max="1" width="3.1640625" style="278" customWidth="1"/>
    <col min="2" max="2" width="26" style="179" customWidth="1"/>
    <col min="3" max="3" width="10.5" style="179" customWidth="1"/>
    <col min="4" max="4" width="10.5" style="296" customWidth="1"/>
    <col min="5" max="5" width="12.5" style="279" customWidth="1"/>
    <col min="6" max="6" width="10.83203125" style="2" bestFit="1" customWidth="1"/>
    <col min="7" max="7" width="9.1640625" style="399" bestFit="1" customWidth="1"/>
    <col min="8" max="8" width="10.33203125" style="12" customWidth="1"/>
    <col min="9" max="9" width="9" style="399" bestFit="1" customWidth="1"/>
    <col min="10" max="30" width="10.33203125" style="2" customWidth="1"/>
    <col min="31" max="31" width="10" style="2" bestFit="1" customWidth="1"/>
    <col min="32" max="16384" width="9.1640625" style="2"/>
  </cols>
  <sheetData>
    <row r="1" spans="1:31" ht="45">
      <c r="A1" s="222"/>
      <c r="B1" s="223"/>
      <c r="C1" s="224" t="s">
        <v>269</v>
      </c>
      <c r="D1" s="226" t="s">
        <v>621</v>
      </c>
      <c r="E1" s="225" t="s">
        <v>270</v>
      </c>
      <c r="F1" s="856" t="s">
        <v>330</v>
      </c>
      <c r="G1" s="857"/>
      <c r="H1" s="856" t="s">
        <v>331</v>
      </c>
      <c r="I1" s="857"/>
      <c r="J1" s="858" t="s">
        <v>332</v>
      </c>
      <c r="K1" s="858"/>
      <c r="L1" s="283" t="s">
        <v>333</v>
      </c>
      <c r="M1" s="283"/>
      <c r="N1" s="283" t="s">
        <v>334</v>
      </c>
      <c r="O1" s="283"/>
      <c r="P1" s="283" t="s">
        <v>335</v>
      </c>
      <c r="Q1" s="283"/>
      <c r="R1" s="283" t="s">
        <v>336</v>
      </c>
      <c r="S1" s="283"/>
      <c r="T1" s="283" t="s">
        <v>337</v>
      </c>
      <c r="U1" s="283"/>
      <c r="V1" s="283" t="s">
        <v>338</v>
      </c>
      <c r="W1" s="283"/>
      <c r="X1" s="283" t="s">
        <v>339</v>
      </c>
      <c r="Y1" s="283"/>
      <c r="Z1" s="283" t="s">
        <v>340</v>
      </c>
      <c r="AA1" s="283"/>
      <c r="AB1" s="283" t="s">
        <v>341</v>
      </c>
      <c r="AC1" s="283"/>
      <c r="AD1" s="283" t="s">
        <v>35</v>
      </c>
      <c r="AE1" s="283" t="s">
        <v>573</v>
      </c>
    </row>
    <row r="2" spans="1:31" s="235" customFormat="1" ht="20" thickBot="1">
      <c r="A2" s="229" t="s">
        <v>273</v>
      </c>
      <c r="B2" s="230"/>
      <c r="C2" s="231"/>
      <c r="D2" s="572"/>
      <c r="E2" s="232"/>
      <c r="F2" s="549"/>
      <c r="G2" s="550"/>
      <c r="H2" s="567"/>
      <c r="I2" s="550"/>
      <c r="J2" s="234"/>
      <c r="K2" s="234"/>
      <c r="L2" s="234"/>
      <c r="M2" s="234"/>
      <c r="N2" s="234"/>
      <c r="O2" s="234"/>
      <c r="P2" s="234"/>
      <c r="Q2" s="234"/>
      <c r="R2" s="234"/>
      <c r="S2" s="234"/>
      <c r="T2" s="234"/>
      <c r="U2" s="234"/>
      <c r="V2" s="234"/>
      <c r="W2" s="234"/>
      <c r="X2" s="234"/>
      <c r="Y2" s="234"/>
      <c r="Z2" s="234"/>
      <c r="AA2" s="234"/>
      <c r="AB2" s="234"/>
      <c r="AC2" s="234"/>
      <c r="AD2" s="234"/>
    </row>
    <row r="3" spans="1:31" ht="17" thickBot="1">
      <c r="A3" s="284" t="s">
        <v>866</v>
      </c>
      <c r="B3" s="285"/>
      <c r="C3" s="286">
        <v>875000</v>
      </c>
      <c r="D3" s="573"/>
      <c r="E3" s="286"/>
      <c r="F3" s="551"/>
      <c r="G3" s="552"/>
      <c r="H3" s="568"/>
      <c r="I3" s="552"/>
      <c r="J3" s="287"/>
      <c r="K3" s="287"/>
      <c r="L3" s="287"/>
      <c r="M3" s="287"/>
      <c r="N3" s="287"/>
      <c r="O3" s="287"/>
      <c r="P3" s="287"/>
      <c r="Q3" s="287"/>
      <c r="R3" s="287"/>
      <c r="S3" s="287"/>
      <c r="T3" s="287"/>
      <c r="U3" s="287"/>
      <c r="V3" s="287"/>
      <c r="W3" s="287"/>
      <c r="X3" s="287"/>
      <c r="Y3" s="287"/>
      <c r="Z3" s="287"/>
      <c r="AA3" s="287"/>
      <c r="AB3" s="287"/>
      <c r="AC3" s="287"/>
      <c r="AD3" s="288"/>
    </row>
    <row r="4" spans="1:31">
      <c r="A4" s="243"/>
      <c r="B4" s="244" t="s">
        <v>275</v>
      </c>
      <c r="C4" s="180"/>
      <c r="D4" s="261"/>
      <c r="E4" s="245"/>
      <c r="F4" s="553"/>
      <c r="G4" s="554"/>
      <c r="H4" s="569"/>
      <c r="I4" s="554"/>
    </row>
    <row r="5" spans="1:31" s="394" customFormat="1">
      <c r="A5" s="390"/>
      <c r="B5" s="391" t="s">
        <v>52</v>
      </c>
      <c r="C5" s="391"/>
      <c r="D5" s="249"/>
      <c r="E5" s="391">
        <v>11153</v>
      </c>
      <c r="F5" s="555">
        <v>11210</v>
      </c>
      <c r="G5" s="556">
        <f>F5-E5</f>
        <v>57</v>
      </c>
      <c r="H5" s="555">
        <v>11263</v>
      </c>
      <c r="I5" s="556">
        <f>H5-F5</f>
        <v>53</v>
      </c>
      <c r="J5" s="392">
        <v>0</v>
      </c>
      <c r="K5" s="392">
        <f>J5-H5</f>
        <v>-11263</v>
      </c>
      <c r="L5" s="392"/>
      <c r="M5" s="392"/>
      <c r="N5" s="392"/>
      <c r="O5" s="392"/>
      <c r="P5" s="392"/>
      <c r="Q5" s="392"/>
      <c r="R5" s="392"/>
      <c r="S5" s="392"/>
      <c r="T5" s="392"/>
      <c r="U5" s="392"/>
      <c r="V5" s="392"/>
      <c r="W5" s="392"/>
      <c r="X5" s="392"/>
      <c r="Y5" s="392"/>
      <c r="Z5" s="392"/>
      <c r="AA5" s="392"/>
      <c r="AB5" s="392"/>
      <c r="AC5" s="392"/>
      <c r="AD5" s="393">
        <f>E5+G5+I5+K5+M5+O5+Q5+S5+U5+W5+Y5+AA5+AC5</f>
        <v>0</v>
      </c>
      <c r="AE5" s="394">
        <f>AD5+E5</f>
        <v>11153</v>
      </c>
    </row>
    <row r="6" spans="1:31" s="394" customFormat="1">
      <c r="A6" s="390"/>
      <c r="B6" s="391" t="s">
        <v>277</v>
      </c>
      <c r="C6" s="391"/>
      <c r="D6" s="249">
        <v>55250</v>
      </c>
      <c r="E6" s="391">
        <v>55634</v>
      </c>
      <c r="F6" s="555">
        <v>55918</v>
      </c>
      <c r="G6" s="556">
        <f t="shared" ref="G6:G9" si="0">F6-E6</f>
        <v>284</v>
      </c>
      <c r="H6" s="555">
        <v>56184</v>
      </c>
      <c r="I6" s="556">
        <f t="shared" ref="I6:I9" si="1">H6-F6</f>
        <v>266</v>
      </c>
      <c r="J6" s="392">
        <v>56470</v>
      </c>
      <c r="K6" s="392">
        <f>J6-H6</f>
        <v>286</v>
      </c>
      <c r="L6" s="392"/>
      <c r="M6" s="392"/>
      <c r="N6" s="392"/>
      <c r="O6" s="392"/>
      <c r="P6" s="392"/>
      <c r="Q6" s="392"/>
      <c r="R6" s="392"/>
      <c r="S6" s="392"/>
      <c r="T6" s="392"/>
      <c r="U6" s="392"/>
      <c r="V6" s="392"/>
      <c r="W6" s="392"/>
      <c r="X6" s="392"/>
      <c r="Y6" s="392"/>
      <c r="Z6" s="392"/>
      <c r="AA6" s="392"/>
      <c r="AB6" s="392"/>
      <c r="AC6" s="392"/>
      <c r="AD6" s="393">
        <f t="shared" ref="AD6:AD9" si="2">E6+G6+I6+K6+M6+O6+Q6+S6+U6+W6+Y6+AA6+AC6</f>
        <v>56470</v>
      </c>
      <c r="AE6" s="394">
        <f t="shared" ref="AE6:AE61" si="3">AD6+E6</f>
        <v>112104</v>
      </c>
    </row>
    <row r="7" spans="1:31" s="394" customFormat="1">
      <c r="A7" s="390"/>
      <c r="B7" s="391" t="s">
        <v>278</v>
      </c>
      <c r="C7" s="391"/>
      <c r="D7" s="249">
        <v>578000</v>
      </c>
      <c r="E7" s="391">
        <v>565512</v>
      </c>
      <c r="F7" s="555">
        <v>568402</v>
      </c>
      <c r="G7" s="556">
        <f t="shared" si="0"/>
        <v>2890</v>
      </c>
      <c r="H7" s="555">
        <v>566090</v>
      </c>
      <c r="I7" s="556">
        <f t="shared" si="1"/>
        <v>-2312</v>
      </c>
      <c r="J7" s="392">
        <v>569013</v>
      </c>
      <c r="K7" s="392">
        <f t="shared" ref="K7:K9" si="4">J7-H7</f>
        <v>2923</v>
      </c>
      <c r="L7" s="392"/>
      <c r="M7" s="392"/>
      <c r="N7" s="392"/>
      <c r="O7" s="392"/>
      <c r="P7" s="392"/>
      <c r="Q7" s="392"/>
      <c r="R7" s="392"/>
      <c r="S7" s="392"/>
      <c r="T7" s="392"/>
      <c r="U7" s="392"/>
      <c r="V7" s="392"/>
      <c r="W7" s="392"/>
      <c r="X7" s="392"/>
      <c r="Y7" s="392"/>
      <c r="Z7" s="392"/>
      <c r="AA7" s="392"/>
      <c r="AB7" s="392"/>
      <c r="AC7" s="392"/>
      <c r="AD7" s="393">
        <f t="shared" si="2"/>
        <v>569013</v>
      </c>
      <c r="AE7" s="394">
        <f t="shared" si="3"/>
        <v>1134525</v>
      </c>
    </row>
    <row r="8" spans="1:31" s="394" customFormat="1">
      <c r="A8" s="390"/>
      <c r="B8" s="391" t="s">
        <v>279</v>
      </c>
      <c r="C8" s="391"/>
      <c r="D8" s="249">
        <v>100000</v>
      </c>
      <c r="E8" s="391">
        <v>118103</v>
      </c>
      <c r="F8" s="555">
        <v>110131</v>
      </c>
      <c r="G8" s="556">
        <f t="shared" si="0"/>
        <v>-7972</v>
      </c>
      <c r="H8" s="555">
        <v>111670</v>
      </c>
      <c r="I8" s="556">
        <f t="shared" si="1"/>
        <v>1539</v>
      </c>
      <c r="J8" s="392">
        <v>114194</v>
      </c>
      <c r="K8" s="392">
        <f t="shared" si="4"/>
        <v>2524</v>
      </c>
      <c r="L8" s="392"/>
      <c r="M8" s="392"/>
      <c r="N8" s="392"/>
      <c r="O8" s="392"/>
      <c r="P8" s="392"/>
      <c r="Q8" s="392"/>
      <c r="R8" s="392"/>
      <c r="S8" s="392"/>
      <c r="T8" s="392"/>
      <c r="U8" s="392"/>
      <c r="V8" s="392"/>
      <c r="W8" s="392"/>
      <c r="X8" s="392"/>
      <c r="Y8" s="392"/>
      <c r="Z8" s="392"/>
      <c r="AA8" s="392"/>
      <c r="AB8" s="392"/>
      <c r="AC8" s="392"/>
      <c r="AD8" s="393">
        <f t="shared" si="2"/>
        <v>114194</v>
      </c>
      <c r="AE8" s="394">
        <f t="shared" si="3"/>
        <v>232297</v>
      </c>
    </row>
    <row r="9" spans="1:31" s="394" customFormat="1">
      <c r="A9" s="390"/>
      <c r="B9" s="395" t="s">
        <v>280</v>
      </c>
      <c r="C9" s="395"/>
      <c r="D9" s="574">
        <v>108000</v>
      </c>
      <c r="E9" s="391">
        <v>93145</v>
      </c>
      <c r="F9" s="555">
        <v>93620</v>
      </c>
      <c r="G9" s="556">
        <f t="shared" si="0"/>
        <v>475</v>
      </c>
      <c r="H9" s="555">
        <v>94066</v>
      </c>
      <c r="I9" s="556">
        <f t="shared" si="1"/>
        <v>446</v>
      </c>
      <c r="J9" s="392">
        <v>94545</v>
      </c>
      <c r="K9" s="392">
        <f t="shared" si="4"/>
        <v>479</v>
      </c>
      <c r="L9" s="392"/>
      <c r="M9" s="392"/>
      <c r="N9" s="392"/>
      <c r="O9" s="392"/>
      <c r="P9" s="392"/>
      <c r="Q9" s="392"/>
      <c r="R9" s="392"/>
      <c r="S9" s="392"/>
      <c r="T9" s="392"/>
      <c r="U9" s="392"/>
      <c r="V9" s="392"/>
      <c r="W9" s="392"/>
      <c r="X9" s="392"/>
      <c r="Y9" s="392"/>
      <c r="Z9" s="392"/>
      <c r="AA9" s="392"/>
      <c r="AB9" s="392"/>
      <c r="AC9" s="392"/>
      <c r="AD9" s="393">
        <f t="shared" si="2"/>
        <v>94545</v>
      </c>
      <c r="AE9" s="394">
        <f t="shared" si="3"/>
        <v>187690</v>
      </c>
    </row>
    <row r="10" spans="1:31" s="179" customFormat="1">
      <c r="A10" s="290"/>
      <c r="B10" s="291" t="s">
        <v>281</v>
      </c>
      <c r="C10" s="292"/>
      <c r="D10" s="571"/>
      <c r="E10" s="292">
        <f>SUM(E5:E9)</f>
        <v>843547</v>
      </c>
      <c r="F10" s="557">
        <f>SUM(F5:F9)</f>
        <v>839281</v>
      </c>
      <c r="G10" s="558"/>
      <c r="H10" s="557">
        <f t="shared" ref="H10:AD10" si="5">SUM(H5:H9)</f>
        <v>839273</v>
      </c>
      <c r="I10" s="558"/>
      <c r="J10" s="293">
        <f t="shared" si="5"/>
        <v>834222</v>
      </c>
      <c r="K10" s="389"/>
      <c r="L10" s="293">
        <f t="shared" si="5"/>
        <v>0</v>
      </c>
      <c r="M10" s="389"/>
      <c r="N10" s="293">
        <f t="shared" si="5"/>
        <v>0</v>
      </c>
      <c r="O10" s="389"/>
      <c r="P10" s="293">
        <f t="shared" si="5"/>
        <v>0</v>
      </c>
      <c r="Q10" s="389"/>
      <c r="R10" s="293">
        <f t="shared" si="5"/>
        <v>0</v>
      </c>
      <c r="S10" s="389"/>
      <c r="T10" s="293">
        <f t="shared" si="5"/>
        <v>0</v>
      </c>
      <c r="U10" s="389"/>
      <c r="V10" s="293">
        <f t="shared" si="5"/>
        <v>0</v>
      </c>
      <c r="W10" s="389"/>
      <c r="X10" s="293">
        <f t="shared" si="5"/>
        <v>0</v>
      </c>
      <c r="Y10" s="389"/>
      <c r="Z10" s="293">
        <f t="shared" si="5"/>
        <v>0</v>
      </c>
      <c r="AA10" s="389"/>
      <c r="AB10" s="293">
        <f t="shared" si="5"/>
        <v>0</v>
      </c>
      <c r="AC10" s="389"/>
      <c r="AD10" s="294">
        <f t="shared" si="5"/>
        <v>834222</v>
      </c>
      <c r="AE10" s="296">
        <f t="shared" si="3"/>
        <v>1677769</v>
      </c>
    </row>
    <row r="11" spans="1:31" s="179" customFormat="1" ht="16" thickBot="1">
      <c r="A11" s="258"/>
      <c r="B11" s="259" t="s">
        <v>575</v>
      </c>
      <c r="C11" s="258"/>
      <c r="D11" s="258"/>
      <c r="E11" s="258">
        <f>SUM(E5:E9)</f>
        <v>843547</v>
      </c>
      <c r="F11" s="559">
        <f>C3-F10</f>
        <v>35719</v>
      </c>
      <c r="G11" s="560"/>
      <c r="H11" s="559">
        <f>C3-H10</f>
        <v>35727</v>
      </c>
      <c r="I11" s="560"/>
      <c r="J11" s="295">
        <f>H11+J10</f>
        <v>869949</v>
      </c>
      <c r="K11" s="295"/>
      <c r="L11" s="295">
        <f>J11+L10</f>
        <v>869949</v>
      </c>
      <c r="M11" s="295"/>
      <c r="N11" s="295">
        <f>L11+N10</f>
        <v>869949</v>
      </c>
      <c r="O11" s="295"/>
      <c r="P11" s="295">
        <f>N11+P10</f>
        <v>869949</v>
      </c>
      <c r="Q11" s="295"/>
      <c r="R11" s="295">
        <f>P11+R10</f>
        <v>869949</v>
      </c>
      <c r="S11" s="295"/>
      <c r="T11" s="295">
        <f>R11+T10</f>
        <v>869949</v>
      </c>
      <c r="U11" s="295"/>
      <c r="V11" s="295">
        <f>T11+V10</f>
        <v>869949</v>
      </c>
      <c r="W11" s="295"/>
      <c r="X11" s="295">
        <f>V11+X10</f>
        <v>869949</v>
      </c>
      <c r="Y11" s="295"/>
      <c r="Z11" s="295">
        <f>X11+Z10</f>
        <v>869949</v>
      </c>
      <c r="AA11" s="295"/>
      <c r="AB11" s="295">
        <f t="shared" ref="AB11" si="6">Z11+AB10</f>
        <v>869949</v>
      </c>
      <c r="AC11" s="295"/>
      <c r="AD11" s="295">
        <f>E11+AD10</f>
        <v>1677769</v>
      </c>
      <c r="AE11" s="296"/>
    </row>
    <row r="12" spans="1:31" ht="17" thickTop="1" thickBot="1">
      <c r="A12" s="243"/>
      <c r="B12" s="180"/>
      <c r="C12" s="261"/>
      <c r="D12" s="261"/>
      <c r="E12" s="261"/>
      <c r="F12" s="553"/>
      <c r="G12" s="554"/>
      <c r="H12" s="569"/>
      <c r="I12" s="554"/>
      <c r="AE12" s="296"/>
    </row>
    <row r="13" spans="1:31" ht="17" thickBot="1">
      <c r="A13" s="284" t="s">
        <v>864</v>
      </c>
      <c r="B13" s="285"/>
      <c r="C13" s="286">
        <v>1750000</v>
      </c>
      <c r="D13" s="573"/>
      <c r="E13" s="286">
        <v>1750000</v>
      </c>
      <c r="F13" s="551"/>
      <c r="G13" s="552"/>
      <c r="H13" s="568"/>
      <c r="I13" s="552"/>
      <c r="J13" s="287"/>
      <c r="K13" s="287"/>
      <c r="L13" s="287"/>
      <c r="M13" s="287"/>
      <c r="N13" s="287"/>
      <c r="O13" s="287"/>
      <c r="P13" s="287"/>
      <c r="Q13" s="287"/>
      <c r="R13" s="287"/>
      <c r="S13" s="287"/>
      <c r="T13" s="287"/>
      <c r="U13" s="287"/>
      <c r="V13" s="287"/>
      <c r="W13" s="287"/>
      <c r="X13" s="287"/>
      <c r="Y13" s="287"/>
      <c r="Z13" s="287"/>
      <c r="AA13" s="287"/>
      <c r="AB13" s="287"/>
      <c r="AC13" s="287"/>
      <c r="AD13" s="288"/>
      <c r="AE13" s="296"/>
    </row>
    <row r="14" spans="1:31">
      <c r="A14" s="243"/>
      <c r="B14" s="244" t="s">
        <v>284</v>
      </c>
      <c r="C14" s="254"/>
      <c r="D14" s="254"/>
      <c r="E14" s="254"/>
      <c r="F14" s="553"/>
      <c r="G14" s="554"/>
      <c r="H14" s="569"/>
      <c r="I14" s="554"/>
      <c r="AE14" s="296"/>
    </row>
    <row r="15" spans="1:31" s="394" customFormat="1">
      <c r="A15" s="390"/>
      <c r="B15" s="391" t="s">
        <v>285</v>
      </c>
      <c r="C15" s="391"/>
      <c r="D15" s="249">
        <v>258442</v>
      </c>
      <c r="E15" s="391">
        <v>258442</v>
      </c>
      <c r="F15" s="555">
        <v>258442</v>
      </c>
      <c r="G15" s="556">
        <f>F15-E15</f>
        <v>0</v>
      </c>
      <c r="H15" s="555">
        <v>258442</v>
      </c>
      <c r="I15" s="556">
        <f>H15-F15</f>
        <v>0</v>
      </c>
      <c r="J15" s="392">
        <v>258442</v>
      </c>
      <c r="K15" s="392">
        <f>J15-H15</f>
        <v>0</v>
      </c>
      <c r="L15" s="392"/>
      <c r="M15" s="392"/>
      <c r="N15" s="392"/>
      <c r="O15" s="392"/>
      <c r="P15" s="392"/>
      <c r="Q15" s="392"/>
      <c r="R15" s="392"/>
      <c r="S15" s="392"/>
      <c r="T15" s="392"/>
      <c r="U15" s="392"/>
      <c r="V15" s="392"/>
      <c r="W15" s="392"/>
      <c r="X15" s="392"/>
      <c r="Y15" s="392"/>
      <c r="Z15" s="392"/>
      <c r="AA15" s="392"/>
      <c r="AB15" s="392"/>
      <c r="AC15" s="392"/>
      <c r="AD15" s="393">
        <f t="shared" ref="AD15:AD27" si="7">E15+G15+I15+K15+M15+O15+Q15+S15+U15+W15+Y15+AA15+AC15</f>
        <v>258442</v>
      </c>
      <c r="AE15" s="394">
        <f t="shared" si="3"/>
        <v>516884</v>
      </c>
    </row>
    <row r="16" spans="1:31" s="394" customFormat="1">
      <c r="A16" s="390"/>
      <c r="B16" s="391" t="s">
        <v>287</v>
      </c>
      <c r="C16" s="391"/>
      <c r="D16" s="249">
        <v>298244</v>
      </c>
      <c r="E16" s="391">
        <v>298243.75</v>
      </c>
      <c r="F16" s="555">
        <v>298244</v>
      </c>
      <c r="G16" s="556">
        <f t="shared" ref="G16:G27" si="8">F16-E16</f>
        <v>0.25</v>
      </c>
      <c r="H16" s="555">
        <v>298244</v>
      </c>
      <c r="I16" s="556">
        <f t="shared" ref="I16:I27" si="9">H16-F16</f>
        <v>0</v>
      </c>
      <c r="J16" s="392">
        <v>298244</v>
      </c>
      <c r="K16" s="392">
        <f t="shared" ref="K16:K27" si="10">J16-H16</f>
        <v>0</v>
      </c>
      <c r="L16" s="392"/>
      <c r="M16" s="392"/>
      <c r="N16" s="392"/>
      <c r="O16" s="392"/>
      <c r="P16" s="392"/>
      <c r="Q16" s="392"/>
      <c r="R16" s="392"/>
      <c r="S16" s="392"/>
      <c r="T16" s="392"/>
      <c r="U16" s="392"/>
      <c r="V16" s="392"/>
      <c r="W16" s="392"/>
      <c r="X16" s="392"/>
      <c r="Y16" s="392"/>
      <c r="Z16" s="392"/>
      <c r="AA16" s="392"/>
      <c r="AB16" s="392"/>
      <c r="AC16" s="392"/>
      <c r="AD16" s="393">
        <f t="shared" si="7"/>
        <v>298244</v>
      </c>
      <c r="AE16" s="394">
        <f t="shared" si="3"/>
        <v>596487.75</v>
      </c>
    </row>
    <row r="17" spans="1:31" s="394" customFormat="1">
      <c r="A17" s="390"/>
      <c r="B17" s="391" t="s">
        <v>288</v>
      </c>
      <c r="C17" s="391"/>
      <c r="D17" s="249">
        <v>100000</v>
      </c>
      <c r="E17" s="391">
        <v>228546.99999999994</v>
      </c>
      <c r="F17" s="555">
        <v>228871</v>
      </c>
      <c r="G17" s="556">
        <f t="shared" si="8"/>
        <v>324.00000000005821</v>
      </c>
      <c r="H17" s="555">
        <v>195020</v>
      </c>
      <c r="I17" s="556">
        <f t="shared" si="9"/>
        <v>-33851</v>
      </c>
      <c r="J17" s="392">
        <v>195346</v>
      </c>
      <c r="K17" s="392">
        <f t="shared" si="10"/>
        <v>326</v>
      </c>
      <c r="L17" s="392"/>
      <c r="M17" s="392"/>
      <c r="N17" s="392"/>
      <c r="O17" s="392"/>
      <c r="P17" s="392"/>
      <c r="Q17" s="392"/>
      <c r="R17" s="396">
        <v>-195020</v>
      </c>
      <c r="S17" s="396"/>
      <c r="T17" s="392"/>
      <c r="U17" s="392"/>
      <c r="V17" s="392"/>
      <c r="W17" s="392"/>
      <c r="X17" s="392"/>
      <c r="Y17" s="392"/>
      <c r="Z17" s="392"/>
      <c r="AA17" s="392"/>
      <c r="AB17" s="392"/>
      <c r="AC17" s="392"/>
      <c r="AD17" s="393">
        <f t="shared" si="7"/>
        <v>195346</v>
      </c>
      <c r="AE17" s="394">
        <f t="shared" si="3"/>
        <v>423892.99999999994</v>
      </c>
    </row>
    <row r="18" spans="1:31" s="394" customFormat="1">
      <c r="A18" s="390"/>
      <c r="B18" s="391" t="s">
        <v>290</v>
      </c>
      <c r="C18" s="391"/>
      <c r="D18" s="249">
        <v>225000</v>
      </c>
      <c r="E18" s="391">
        <v>202327.97999999998</v>
      </c>
      <c r="F18" s="555">
        <v>203671</v>
      </c>
      <c r="G18" s="556">
        <f t="shared" si="8"/>
        <v>1343.0200000000186</v>
      </c>
      <c r="H18" s="555">
        <v>204552</v>
      </c>
      <c r="I18" s="556">
        <f t="shared" si="9"/>
        <v>881</v>
      </c>
      <c r="J18" s="392">
        <v>205010</v>
      </c>
      <c r="K18" s="392">
        <f t="shared" si="10"/>
        <v>458</v>
      </c>
      <c r="L18" s="392"/>
      <c r="M18" s="392"/>
      <c r="N18" s="392"/>
      <c r="O18" s="392"/>
      <c r="P18" s="392"/>
      <c r="Q18" s="392"/>
      <c r="R18" s="396">
        <v>-204552</v>
      </c>
      <c r="S18" s="396"/>
      <c r="T18" s="392"/>
      <c r="U18" s="392"/>
      <c r="V18" s="392"/>
      <c r="W18" s="392"/>
      <c r="X18" s="392"/>
      <c r="Y18" s="392"/>
      <c r="Z18" s="392"/>
      <c r="AA18" s="392"/>
      <c r="AB18" s="392"/>
      <c r="AC18" s="392"/>
      <c r="AD18" s="393">
        <f t="shared" si="7"/>
        <v>205010</v>
      </c>
      <c r="AE18" s="394">
        <f t="shared" si="3"/>
        <v>407337.98</v>
      </c>
    </row>
    <row r="19" spans="1:31" s="394" customFormat="1">
      <c r="A19" s="390"/>
      <c r="B19" s="391" t="s">
        <v>292</v>
      </c>
      <c r="C19" s="391"/>
      <c r="D19" s="249">
        <v>64907</v>
      </c>
      <c r="E19" s="391">
        <v>64907</v>
      </c>
      <c r="F19" s="555">
        <v>64907</v>
      </c>
      <c r="G19" s="556">
        <f t="shared" si="8"/>
        <v>0</v>
      </c>
      <c r="H19" s="555">
        <v>64907</v>
      </c>
      <c r="I19" s="556">
        <f t="shared" si="9"/>
        <v>0</v>
      </c>
      <c r="J19" s="392">
        <v>64907</v>
      </c>
      <c r="K19" s="392">
        <f t="shared" si="10"/>
        <v>0</v>
      </c>
      <c r="L19" s="396">
        <v>-64907</v>
      </c>
      <c r="M19" s="396"/>
      <c r="N19" s="392"/>
      <c r="O19" s="392"/>
      <c r="P19" s="392"/>
      <c r="Q19" s="392"/>
      <c r="R19" s="392"/>
      <c r="S19" s="392"/>
      <c r="T19" s="392"/>
      <c r="U19" s="392"/>
      <c r="V19" s="392"/>
      <c r="W19" s="392"/>
      <c r="X19" s="392"/>
      <c r="Y19" s="392"/>
      <c r="Z19" s="392"/>
      <c r="AA19" s="392"/>
      <c r="AB19" s="392"/>
      <c r="AC19" s="392"/>
      <c r="AD19" s="393">
        <f t="shared" si="7"/>
        <v>64907</v>
      </c>
      <c r="AE19" s="394">
        <f t="shared" si="3"/>
        <v>129814</v>
      </c>
    </row>
    <row r="20" spans="1:31" s="394" customFormat="1">
      <c r="A20" s="390"/>
      <c r="B20" s="391" t="s">
        <v>294</v>
      </c>
      <c r="C20" s="391"/>
      <c r="D20" s="249">
        <v>250000</v>
      </c>
      <c r="E20" s="391">
        <v>250000</v>
      </c>
      <c r="F20" s="555">
        <v>250000</v>
      </c>
      <c r="G20" s="556">
        <f t="shared" si="8"/>
        <v>0</v>
      </c>
      <c r="H20" s="555">
        <v>250000</v>
      </c>
      <c r="I20" s="556">
        <f t="shared" si="9"/>
        <v>0</v>
      </c>
      <c r="J20" s="392">
        <v>250000</v>
      </c>
      <c r="K20" s="392">
        <f t="shared" si="10"/>
        <v>0</v>
      </c>
      <c r="L20" s="392"/>
      <c r="M20" s="392"/>
      <c r="N20" s="392"/>
      <c r="O20" s="392"/>
      <c r="P20" s="392"/>
      <c r="Q20" s="392"/>
      <c r="R20" s="392"/>
      <c r="S20" s="392"/>
      <c r="T20" s="392"/>
      <c r="U20" s="392"/>
      <c r="V20" s="392"/>
      <c r="W20" s="392"/>
      <c r="X20" s="392"/>
      <c r="Y20" s="392"/>
      <c r="Z20" s="392"/>
      <c r="AA20" s="392"/>
      <c r="AB20" s="392"/>
      <c r="AC20" s="392"/>
      <c r="AD20" s="393">
        <f t="shared" si="7"/>
        <v>250000</v>
      </c>
      <c r="AE20" s="394">
        <f t="shared" si="3"/>
        <v>500000</v>
      </c>
    </row>
    <row r="21" spans="1:31" s="394" customFormat="1">
      <c r="A21" s="390"/>
      <c r="B21" s="391" t="s">
        <v>296</v>
      </c>
      <c r="C21" s="391"/>
      <c r="D21" s="249">
        <v>50833</v>
      </c>
      <c r="E21" s="391">
        <v>648.43999999999971</v>
      </c>
      <c r="F21" s="555">
        <v>651</v>
      </c>
      <c r="G21" s="556">
        <f t="shared" si="8"/>
        <v>2.5600000000002865</v>
      </c>
      <c r="H21" s="555">
        <v>653</v>
      </c>
      <c r="I21" s="556">
        <f t="shared" si="9"/>
        <v>2</v>
      </c>
      <c r="J21" s="392">
        <v>656</v>
      </c>
      <c r="K21" s="392">
        <f t="shared" si="10"/>
        <v>3</v>
      </c>
      <c r="L21" s="392"/>
      <c r="M21" s="392"/>
      <c r="N21" s="392"/>
      <c r="O21" s="392"/>
      <c r="P21" s="392"/>
      <c r="Q21" s="392"/>
      <c r="R21" s="392"/>
      <c r="S21" s="392"/>
      <c r="T21" s="392"/>
      <c r="U21" s="392"/>
      <c r="V21" s="392"/>
      <c r="W21" s="392"/>
      <c r="X21" s="392"/>
      <c r="Y21" s="392"/>
      <c r="Z21" s="392"/>
      <c r="AA21" s="392"/>
      <c r="AB21" s="392"/>
      <c r="AC21" s="392"/>
      <c r="AD21" s="393">
        <f t="shared" si="7"/>
        <v>656</v>
      </c>
      <c r="AE21" s="394">
        <f t="shared" si="3"/>
        <v>1304.4399999999996</v>
      </c>
    </row>
    <row r="22" spans="1:31" s="394" customFormat="1">
      <c r="A22" s="390"/>
      <c r="B22" s="391" t="s">
        <v>622</v>
      </c>
      <c r="C22" s="391"/>
      <c r="D22" s="249">
        <v>110000</v>
      </c>
      <c r="E22" s="391">
        <v>0</v>
      </c>
      <c r="F22" s="555"/>
      <c r="G22" s="556"/>
      <c r="H22" s="555"/>
      <c r="I22" s="556"/>
      <c r="J22" s="392">
        <v>0</v>
      </c>
      <c r="K22" s="392">
        <f t="shared" si="10"/>
        <v>0</v>
      </c>
      <c r="L22" s="392"/>
      <c r="M22" s="392"/>
      <c r="N22" s="392"/>
      <c r="O22" s="392"/>
      <c r="P22" s="392"/>
      <c r="Q22" s="392"/>
      <c r="R22" s="392"/>
      <c r="S22" s="392"/>
      <c r="T22" s="392"/>
      <c r="U22" s="392"/>
      <c r="V22" s="392"/>
      <c r="W22" s="392"/>
      <c r="X22" s="392"/>
      <c r="Y22" s="392"/>
      <c r="Z22" s="392"/>
      <c r="AA22" s="392"/>
      <c r="AB22" s="392"/>
      <c r="AC22" s="392"/>
      <c r="AD22" s="393"/>
    </row>
    <row r="23" spans="1:31" s="394" customFormat="1">
      <c r="A23" s="390"/>
      <c r="B23" s="391" t="s">
        <v>297</v>
      </c>
      <c r="C23" s="391"/>
      <c r="D23" s="249">
        <v>285000</v>
      </c>
      <c r="E23" s="391">
        <v>244276.74999999997</v>
      </c>
      <c r="F23" s="555">
        <v>245310</v>
      </c>
      <c r="G23" s="556">
        <f t="shared" si="8"/>
        <v>1033.2500000000291</v>
      </c>
      <c r="H23" s="555">
        <v>245310</v>
      </c>
      <c r="I23" s="556">
        <f t="shared" si="9"/>
        <v>0</v>
      </c>
      <c r="J23" s="392">
        <v>245310</v>
      </c>
      <c r="K23" s="392">
        <f t="shared" si="10"/>
        <v>0</v>
      </c>
      <c r="L23" s="392"/>
      <c r="M23" s="392"/>
      <c r="N23" s="392"/>
      <c r="O23" s="392"/>
      <c r="P23" s="392"/>
      <c r="Q23" s="392"/>
      <c r="R23" s="392"/>
      <c r="S23" s="392"/>
      <c r="T23" s="392"/>
      <c r="U23" s="392"/>
      <c r="V23" s="392"/>
      <c r="W23" s="392"/>
      <c r="X23" s="392"/>
      <c r="Y23" s="392"/>
      <c r="Z23" s="392"/>
      <c r="AA23" s="392"/>
      <c r="AB23" s="392"/>
      <c r="AC23" s="392"/>
      <c r="AD23" s="393">
        <f t="shared" si="7"/>
        <v>245310</v>
      </c>
      <c r="AE23" s="394">
        <f t="shared" si="3"/>
        <v>489586.75</v>
      </c>
    </row>
    <row r="24" spans="1:31" s="394" customFormat="1">
      <c r="A24" s="390"/>
      <c r="B24" s="391" t="s">
        <v>298</v>
      </c>
      <c r="C24" s="391"/>
      <c r="D24" s="249">
        <v>50000</v>
      </c>
      <c r="E24" s="391">
        <v>35713.889999999992</v>
      </c>
      <c r="F24" s="555">
        <v>35919</v>
      </c>
      <c r="G24" s="556">
        <f t="shared" si="8"/>
        <v>205.11000000000786</v>
      </c>
      <c r="H24" s="555">
        <v>36112</v>
      </c>
      <c r="I24" s="556">
        <f t="shared" si="9"/>
        <v>193</v>
      </c>
      <c r="J24" s="392">
        <v>36320</v>
      </c>
      <c r="K24" s="392">
        <f t="shared" si="10"/>
        <v>208</v>
      </c>
      <c r="L24" s="392"/>
      <c r="M24" s="392"/>
      <c r="N24" s="392"/>
      <c r="O24" s="392"/>
      <c r="P24" s="392"/>
      <c r="Q24" s="392"/>
      <c r="R24" s="392"/>
      <c r="S24" s="392"/>
      <c r="T24" s="392">
        <v>-36112</v>
      </c>
      <c r="U24" s="392"/>
      <c r="V24" s="392"/>
      <c r="W24" s="392"/>
      <c r="X24" s="392"/>
      <c r="Y24" s="392"/>
      <c r="Z24" s="392"/>
      <c r="AA24" s="392"/>
      <c r="AB24" s="392"/>
      <c r="AC24" s="392"/>
      <c r="AD24" s="393">
        <f t="shared" si="7"/>
        <v>36320</v>
      </c>
      <c r="AE24" s="394">
        <f t="shared" si="3"/>
        <v>72033.889999999985</v>
      </c>
    </row>
    <row r="25" spans="1:31" s="394" customFormat="1">
      <c r="A25" s="390"/>
      <c r="B25" s="391" t="s">
        <v>300</v>
      </c>
      <c r="C25" s="391"/>
      <c r="D25" s="249">
        <v>14799</v>
      </c>
      <c r="E25" s="391">
        <v>16329.190520000009</v>
      </c>
      <c r="F25" s="555">
        <v>16396</v>
      </c>
      <c r="G25" s="556">
        <f t="shared" si="8"/>
        <v>66.809479999990799</v>
      </c>
      <c r="H25" s="555">
        <v>16458</v>
      </c>
      <c r="I25" s="556">
        <f t="shared" si="9"/>
        <v>62</v>
      </c>
      <c r="J25" s="392">
        <v>16525</v>
      </c>
      <c r="K25" s="392">
        <f t="shared" si="10"/>
        <v>67</v>
      </c>
      <c r="L25" s="392"/>
      <c r="M25" s="392"/>
      <c r="N25" s="392"/>
      <c r="O25" s="392"/>
      <c r="P25" s="392"/>
      <c r="Q25" s="392"/>
      <c r="R25" s="392"/>
      <c r="S25" s="392"/>
      <c r="T25" s="392"/>
      <c r="U25" s="392"/>
      <c r="V25" s="392"/>
      <c r="W25" s="392"/>
      <c r="X25" s="392"/>
      <c r="Y25" s="392"/>
      <c r="Z25" s="392"/>
      <c r="AA25" s="392"/>
      <c r="AB25" s="396">
        <v>-16458</v>
      </c>
      <c r="AC25" s="396"/>
      <c r="AD25" s="393">
        <f t="shared" si="7"/>
        <v>16525</v>
      </c>
      <c r="AE25" s="394">
        <f t="shared" si="3"/>
        <v>32854.190520000011</v>
      </c>
    </row>
    <row r="26" spans="1:31" s="394" customFormat="1">
      <c r="A26" s="390"/>
      <c r="B26" s="391" t="s">
        <v>302</v>
      </c>
      <c r="C26" s="391"/>
      <c r="D26" s="249">
        <v>34361</v>
      </c>
      <c r="E26" s="391">
        <v>38024</v>
      </c>
      <c r="F26" s="555">
        <v>38179</v>
      </c>
      <c r="G26" s="556">
        <f t="shared" si="8"/>
        <v>155</v>
      </c>
      <c r="H26" s="555">
        <v>38324</v>
      </c>
      <c r="I26" s="556">
        <f t="shared" si="9"/>
        <v>145</v>
      </c>
      <c r="J26" s="392">
        <v>38480</v>
      </c>
      <c r="K26" s="392">
        <f t="shared" si="10"/>
        <v>156</v>
      </c>
      <c r="L26" s="392"/>
      <c r="M26" s="392"/>
      <c r="N26" s="392"/>
      <c r="O26" s="392"/>
      <c r="P26" s="392"/>
      <c r="Q26" s="392"/>
      <c r="R26" s="392"/>
      <c r="S26" s="392"/>
      <c r="T26" s="392"/>
      <c r="U26" s="392"/>
      <c r="V26" s="392"/>
      <c r="W26" s="392"/>
      <c r="X26" s="392"/>
      <c r="Y26" s="392"/>
      <c r="Z26" s="392"/>
      <c r="AA26" s="392"/>
      <c r="AB26" s="396">
        <v>-38324</v>
      </c>
      <c r="AC26" s="396"/>
      <c r="AD26" s="393">
        <f t="shared" si="7"/>
        <v>38480</v>
      </c>
      <c r="AE26" s="394">
        <f t="shared" si="3"/>
        <v>76504</v>
      </c>
    </row>
    <row r="27" spans="1:31" s="394" customFormat="1">
      <c r="A27" s="390"/>
      <c r="B27" s="397" t="s">
        <v>303</v>
      </c>
      <c r="C27" s="397"/>
      <c r="D27" s="261">
        <v>33826</v>
      </c>
      <c r="E27" s="397">
        <v>37323.48204599999</v>
      </c>
      <c r="F27" s="561">
        <v>37476</v>
      </c>
      <c r="G27" s="556">
        <f t="shared" si="8"/>
        <v>152.51795400000992</v>
      </c>
      <c r="H27" s="570">
        <v>37618</v>
      </c>
      <c r="I27" s="556">
        <f t="shared" si="9"/>
        <v>142</v>
      </c>
      <c r="J27" s="394">
        <v>37722</v>
      </c>
      <c r="K27" s="392">
        <f t="shared" si="10"/>
        <v>104</v>
      </c>
      <c r="L27" s="394">
        <v>-37722</v>
      </c>
      <c r="AD27" s="393">
        <f t="shared" si="7"/>
        <v>37722</v>
      </c>
      <c r="AE27" s="394">
        <f t="shared" si="3"/>
        <v>75045.48204599999</v>
      </c>
    </row>
    <row r="28" spans="1:31" s="179" customFormat="1">
      <c r="A28" s="290"/>
      <c r="B28" s="291" t="s">
        <v>281</v>
      </c>
      <c r="C28" s="292"/>
      <c r="D28" s="571"/>
      <c r="E28" s="292">
        <f>SUM(E15:E27)</f>
        <v>1674783.4825659997</v>
      </c>
      <c r="F28" s="557">
        <f>SUM(F15:F27)</f>
        <v>1678066</v>
      </c>
      <c r="G28" s="558"/>
      <c r="H28" s="557">
        <f t="shared" ref="H28:AB28" si="11">SUM(H15:H27)</f>
        <v>1645640</v>
      </c>
      <c r="I28" s="558"/>
      <c r="J28" s="293">
        <f t="shared" si="11"/>
        <v>1646962</v>
      </c>
      <c r="K28" s="389"/>
      <c r="L28" s="293">
        <f t="shared" si="11"/>
        <v>-102629</v>
      </c>
      <c r="M28" s="389"/>
      <c r="N28" s="293">
        <f t="shared" si="11"/>
        <v>0</v>
      </c>
      <c r="O28" s="389"/>
      <c r="P28" s="293">
        <f t="shared" si="11"/>
        <v>0</v>
      </c>
      <c r="Q28" s="389"/>
      <c r="R28" s="293">
        <f t="shared" si="11"/>
        <v>-399572</v>
      </c>
      <c r="S28" s="389"/>
      <c r="T28" s="293">
        <f t="shared" si="11"/>
        <v>-36112</v>
      </c>
      <c r="U28" s="389"/>
      <c r="V28" s="293">
        <f t="shared" si="11"/>
        <v>0</v>
      </c>
      <c r="W28" s="389"/>
      <c r="X28" s="293">
        <f t="shared" si="11"/>
        <v>0</v>
      </c>
      <c r="Y28" s="389"/>
      <c r="Z28" s="293">
        <f t="shared" si="11"/>
        <v>0</v>
      </c>
      <c r="AA28" s="389"/>
      <c r="AB28" s="293">
        <f t="shared" si="11"/>
        <v>-54782</v>
      </c>
      <c r="AC28" s="389"/>
      <c r="AD28" s="294">
        <f>SUM(AD15:AD27)</f>
        <v>1646962</v>
      </c>
      <c r="AE28" s="296"/>
    </row>
    <row r="29" spans="1:31" s="179" customFormat="1" ht="16" thickBot="1">
      <c r="A29" s="258"/>
      <c r="B29" s="259" t="s">
        <v>282</v>
      </c>
      <c r="C29" s="258"/>
      <c r="D29" s="258"/>
      <c r="E29" s="258">
        <f>E28</f>
        <v>1674783.4825659997</v>
      </c>
      <c r="F29" s="559">
        <f>C13-F28</f>
        <v>71934</v>
      </c>
      <c r="G29" s="560"/>
      <c r="H29" s="559">
        <f>C13-H28</f>
        <v>104360</v>
      </c>
      <c r="I29" s="560"/>
      <c r="J29" s="295">
        <f>H29+J28</f>
        <v>1751322</v>
      </c>
      <c r="K29" s="295"/>
      <c r="L29" s="295">
        <f>J29+L28</f>
        <v>1648693</v>
      </c>
      <c r="M29" s="295"/>
      <c r="N29" s="295">
        <f>L29+N28</f>
        <v>1648693</v>
      </c>
      <c r="O29" s="295"/>
      <c r="P29" s="295">
        <f>N29+P28</f>
        <v>1648693</v>
      </c>
      <c r="Q29" s="295"/>
      <c r="R29" s="295">
        <f>P29+R28</f>
        <v>1249121</v>
      </c>
      <c r="S29" s="295"/>
      <c r="T29" s="295">
        <f>R29+T28</f>
        <v>1213009</v>
      </c>
      <c r="U29" s="295"/>
      <c r="V29" s="295">
        <f>T29+V28</f>
        <v>1213009</v>
      </c>
      <c r="W29" s="295"/>
      <c r="X29" s="295">
        <f>V29+X28</f>
        <v>1213009</v>
      </c>
      <c r="Y29" s="295"/>
      <c r="Z29" s="295">
        <f>X29+Z28</f>
        <v>1213009</v>
      </c>
      <c r="AA29" s="295"/>
      <c r="AB29" s="295">
        <f t="shared" ref="AB29" si="12">Z29+AB28</f>
        <v>1158227</v>
      </c>
      <c r="AC29" s="295"/>
      <c r="AD29" s="295">
        <f>E29+AD28</f>
        <v>3321745.482566</v>
      </c>
      <c r="AE29" s="296"/>
    </row>
    <row r="30" spans="1:31" ht="17" thickTop="1" thickBot="1">
      <c r="A30" s="243"/>
      <c r="B30" s="180"/>
      <c r="C30" s="261"/>
      <c r="D30" s="261"/>
      <c r="E30" s="261"/>
      <c r="F30" s="553"/>
      <c r="G30" s="554"/>
      <c r="H30" s="569"/>
      <c r="I30" s="554"/>
      <c r="AE30" s="296"/>
    </row>
    <row r="31" spans="1:31" ht="17" thickBot="1">
      <c r="A31" s="284" t="s">
        <v>865</v>
      </c>
      <c r="B31" s="285"/>
      <c r="C31" s="286"/>
      <c r="D31" s="573"/>
      <c r="E31" s="286"/>
      <c r="F31" s="551"/>
      <c r="G31" s="552"/>
      <c r="H31" s="568"/>
      <c r="I31" s="552"/>
      <c r="J31" s="287"/>
      <c r="K31" s="287"/>
      <c r="L31" s="287"/>
      <c r="M31" s="287"/>
      <c r="N31" s="287"/>
      <c r="O31" s="287"/>
      <c r="P31" s="287"/>
      <c r="Q31" s="287"/>
      <c r="R31" s="287"/>
      <c r="S31" s="287"/>
      <c r="T31" s="287"/>
      <c r="U31" s="287"/>
      <c r="V31" s="287"/>
      <c r="W31" s="287"/>
      <c r="X31" s="287"/>
      <c r="Y31" s="287"/>
      <c r="Z31" s="287"/>
      <c r="AA31" s="287"/>
      <c r="AB31" s="287"/>
      <c r="AC31" s="287"/>
      <c r="AD31" s="288"/>
      <c r="AE31" s="296"/>
    </row>
    <row r="32" spans="1:31" s="398" customFormat="1">
      <c r="A32" s="390"/>
      <c r="B32" s="397" t="s">
        <v>305</v>
      </c>
      <c r="C32" s="397"/>
      <c r="D32" s="261">
        <v>263000</v>
      </c>
      <c r="E32" s="397">
        <v>266396</v>
      </c>
      <c r="F32" s="555">
        <v>267459</v>
      </c>
      <c r="G32" s="556">
        <f>F32-E32</f>
        <v>1063</v>
      </c>
      <c r="H32" s="555">
        <v>268458</v>
      </c>
      <c r="I32" s="556">
        <f>H32-F32</f>
        <v>999</v>
      </c>
      <c r="J32" s="392">
        <v>269530</v>
      </c>
      <c r="K32" s="392">
        <f t="shared" ref="K32:K38" si="13">J32-H32</f>
        <v>1072</v>
      </c>
      <c r="L32" s="392"/>
      <c r="M32" s="392"/>
      <c r="N32" s="392"/>
      <c r="O32" s="392"/>
      <c r="P32" s="392"/>
      <c r="Q32" s="392"/>
      <c r="R32" s="392"/>
      <c r="S32" s="392"/>
      <c r="T32" s="392"/>
      <c r="U32" s="392"/>
      <c r="V32" s="392"/>
      <c r="W32" s="392"/>
      <c r="X32" s="396">
        <v>-268458</v>
      </c>
      <c r="Y32" s="396"/>
      <c r="Z32" s="396"/>
      <c r="AA32" s="396"/>
      <c r="AB32" s="396"/>
      <c r="AC32" s="396"/>
      <c r="AD32" s="393">
        <f t="shared" ref="AD32:AD38" si="14">E32+G32+I32+K32+M32+O32+Q32+S32+U32+W32+Y32+AA32+AC32</f>
        <v>269530</v>
      </c>
      <c r="AE32" s="394">
        <f t="shared" si="3"/>
        <v>535926</v>
      </c>
    </row>
    <row r="33" spans="1:31" s="398" customFormat="1">
      <c r="A33" s="390"/>
      <c r="B33" s="391" t="s">
        <v>106</v>
      </c>
      <c r="C33" s="391"/>
      <c r="D33" s="249">
        <v>50000</v>
      </c>
      <c r="E33" s="391">
        <v>8601</v>
      </c>
      <c r="F33" s="555">
        <v>15142</v>
      </c>
      <c r="G33" s="556">
        <f t="shared" ref="G33:G38" si="15">F33-E33</f>
        <v>6541</v>
      </c>
      <c r="H33" s="555">
        <v>37521</v>
      </c>
      <c r="I33" s="556">
        <f t="shared" ref="I33:I38" si="16">H33-F33</f>
        <v>22379</v>
      </c>
      <c r="J33" s="392">
        <v>34415</v>
      </c>
      <c r="K33" s="392">
        <f t="shared" si="13"/>
        <v>-3106</v>
      </c>
      <c r="L33" s="392">
        <v>62500</v>
      </c>
      <c r="M33" s="392"/>
      <c r="N33" s="392">
        <v>62500</v>
      </c>
      <c r="O33" s="392"/>
      <c r="P33" s="392">
        <v>62500</v>
      </c>
      <c r="Q33" s="392"/>
      <c r="R33" s="392">
        <v>62500</v>
      </c>
      <c r="S33" s="392"/>
      <c r="T33" s="392">
        <v>62500</v>
      </c>
      <c r="U33" s="392"/>
      <c r="V33" s="392">
        <v>62500</v>
      </c>
      <c r="W33" s="392"/>
      <c r="X33" s="392">
        <v>62500</v>
      </c>
      <c r="Y33" s="392"/>
      <c r="Z33" s="392">
        <v>62500</v>
      </c>
      <c r="AA33" s="392"/>
      <c r="AB33" s="396">
        <v>-537521</v>
      </c>
      <c r="AC33" s="396"/>
      <c r="AD33" s="393">
        <f t="shared" si="14"/>
        <v>34415</v>
      </c>
      <c r="AE33" s="394">
        <f t="shared" si="3"/>
        <v>43016</v>
      </c>
    </row>
    <row r="34" spans="1:31" s="398" customFormat="1">
      <c r="A34" s="390"/>
      <c r="B34" s="391" t="s">
        <v>308</v>
      </c>
      <c r="C34" s="391"/>
      <c r="D34" s="249">
        <v>525000</v>
      </c>
      <c r="E34" s="391">
        <v>30104</v>
      </c>
      <c r="F34" s="555">
        <v>15904</v>
      </c>
      <c r="G34" s="556">
        <f t="shared" si="15"/>
        <v>-14200</v>
      </c>
      <c r="H34" s="555">
        <v>15966</v>
      </c>
      <c r="I34" s="556">
        <f t="shared" si="16"/>
        <v>62</v>
      </c>
      <c r="J34" s="392">
        <v>16032</v>
      </c>
      <c r="K34" s="392">
        <f t="shared" si="13"/>
        <v>66</v>
      </c>
      <c r="L34" s="392"/>
      <c r="M34" s="392"/>
      <c r="N34" s="392"/>
      <c r="O34" s="392"/>
      <c r="P34" s="392"/>
      <c r="Q34" s="392"/>
      <c r="R34" s="392"/>
      <c r="S34" s="392"/>
      <c r="T34" s="392"/>
      <c r="U34" s="392"/>
      <c r="V34" s="392"/>
      <c r="W34" s="392"/>
      <c r="X34" s="396"/>
      <c r="Y34" s="396"/>
      <c r="Z34" s="396"/>
      <c r="AA34" s="396"/>
      <c r="AB34" s="396"/>
      <c r="AC34" s="396"/>
      <c r="AD34" s="393">
        <f t="shared" si="14"/>
        <v>16032</v>
      </c>
      <c r="AE34" s="394">
        <f t="shared" si="3"/>
        <v>46136</v>
      </c>
    </row>
    <row r="35" spans="1:31" s="398" customFormat="1">
      <c r="A35" s="390"/>
      <c r="B35" s="391" t="s">
        <v>309</v>
      </c>
      <c r="C35" s="391"/>
      <c r="D35" s="249">
        <v>122000</v>
      </c>
      <c r="E35" s="391">
        <v>82188</v>
      </c>
      <c r="F35" s="555">
        <v>82516</v>
      </c>
      <c r="G35" s="556">
        <f t="shared" si="15"/>
        <v>328</v>
      </c>
      <c r="H35" s="555">
        <v>82824</v>
      </c>
      <c r="I35" s="556">
        <f t="shared" si="16"/>
        <v>308</v>
      </c>
      <c r="J35" s="392">
        <v>83155</v>
      </c>
      <c r="K35" s="392">
        <f t="shared" si="13"/>
        <v>331</v>
      </c>
      <c r="L35" s="392"/>
      <c r="M35" s="392"/>
      <c r="N35" s="392"/>
      <c r="O35" s="392"/>
      <c r="P35" s="392"/>
      <c r="Q35" s="392"/>
      <c r="R35" s="392"/>
      <c r="S35" s="392"/>
      <c r="T35" s="392"/>
      <c r="U35" s="392"/>
      <c r="V35" s="392"/>
      <c r="W35" s="392"/>
      <c r="X35" s="396"/>
      <c r="Y35" s="396"/>
      <c r="Z35" s="396"/>
      <c r="AA35" s="396"/>
      <c r="AB35" s="396"/>
      <c r="AC35" s="396"/>
      <c r="AD35" s="393">
        <f t="shared" si="14"/>
        <v>83155</v>
      </c>
      <c r="AE35" s="394">
        <f t="shared" si="3"/>
        <v>165343</v>
      </c>
    </row>
    <row r="36" spans="1:31" s="398" customFormat="1" ht="30">
      <c r="A36" s="390"/>
      <c r="B36" s="391" t="s">
        <v>311</v>
      </c>
      <c r="C36" s="391"/>
      <c r="D36" s="249">
        <v>165812</v>
      </c>
      <c r="E36" s="391">
        <v>153147</v>
      </c>
      <c r="F36" s="555">
        <v>153758</v>
      </c>
      <c r="G36" s="556">
        <f t="shared" si="15"/>
        <v>611</v>
      </c>
      <c r="H36" s="555">
        <v>154332</v>
      </c>
      <c r="I36" s="556">
        <f t="shared" si="16"/>
        <v>574</v>
      </c>
      <c r="J36" s="392">
        <v>154948</v>
      </c>
      <c r="K36" s="392">
        <f t="shared" si="13"/>
        <v>616</v>
      </c>
      <c r="L36" s="392"/>
      <c r="M36" s="392"/>
      <c r="N36" s="392"/>
      <c r="O36" s="392"/>
      <c r="P36" s="392"/>
      <c r="Q36" s="392"/>
      <c r="R36" s="392"/>
      <c r="S36" s="392"/>
      <c r="T36" s="392"/>
      <c r="U36" s="392"/>
      <c r="V36" s="392"/>
      <c r="W36" s="392"/>
      <c r="X36" s="396"/>
      <c r="Y36" s="396"/>
      <c r="Z36" s="396"/>
      <c r="AA36" s="396"/>
      <c r="AB36" s="396"/>
      <c r="AC36" s="396"/>
      <c r="AD36" s="393">
        <f t="shared" si="14"/>
        <v>154948</v>
      </c>
      <c r="AE36" s="394">
        <f t="shared" si="3"/>
        <v>308095</v>
      </c>
    </row>
    <row r="37" spans="1:31" s="398" customFormat="1">
      <c r="A37" s="390"/>
      <c r="B37" s="391" t="s">
        <v>313</v>
      </c>
      <c r="C37" s="391"/>
      <c r="D37" s="249">
        <v>33231</v>
      </c>
      <c r="E37" s="391">
        <v>31248</v>
      </c>
      <c r="F37" s="555">
        <v>31553</v>
      </c>
      <c r="G37" s="556">
        <f t="shared" si="15"/>
        <v>305</v>
      </c>
      <c r="H37" s="555">
        <v>31671</v>
      </c>
      <c r="I37" s="556">
        <f t="shared" si="16"/>
        <v>118</v>
      </c>
      <c r="J37" s="392">
        <v>31797</v>
      </c>
      <c r="K37" s="392">
        <f t="shared" si="13"/>
        <v>126</v>
      </c>
      <c r="L37" s="392">
        <v>-31797</v>
      </c>
      <c r="M37" s="392"/>
      <c r="N37" s="392"/>
      <c r="O37" s="392"/>
      <c r="P37" s="392"/>
      <c r="Q37" s="392"/>
      <c r="R37" s="392"/>
      <c r="S37" s="392"/>
      <c r="T37" s="392"/>
      <c r="U37" s="392"/>
      <c r="V37" s="392"/>
      <c r="W37" s="392"/>
      <c r="X37" s="396"/>
      <c r="Y37" s="396"/>
      <c r="Z37" s="396"/>
      <c r="AA37" s="396"/>
      <c r="AB37" s="396"/>
      <c r="AC37" s="396"/>
      <c r="AD37" s="393">
        <f t="shared" si="14"/>
        <v>31797</v>
      </c>
      <c r="AE37" s="394">
        <f t="shared" si="3"/>
        <v>63045</v>
      </c>
    </row>
    <row r="38" spans="1:31" s="398" customFormat="1">
      <c r="A38" s="390"/>
      <c r="B38" s="391" t="s">
        <v>314</v>
      </c>
      <c r="C38" s="391"/>
      <c r="D38" s="249">
        <v>953125</v>
      </c>
      <c r="E38" s="391">
        <v>830863</v>
      </c>
      <c r="F38" s="555">
        <v>843446</v>
      </c>
      <c r="G38" s="556">
        <f t="shared" si="15"/>
        <v>12583</v>
      </c>
      <c r="H38" s="555">
        <v>924091</v>
      </c>
      <c r="I38" s="556">
        <f t="shared" si="16"/>
        <v>80645</v>
      </c>
      <c r="J38" s="392">
        <v>952710</v>
      </c>
      <c r="K38" s="392">
        <f t="shared" si="13"/>
        <v>28619</v>
      </c>
      <c r="L38" s="392"/>
      <c r="M38" s="392"/>
      <c r="N38" s="392"/>
      <c r="O38" s="392"/>
      <c r="P38" s="392"/>
      <c r="Q38" s="392"/>
      <c r="R38" s="392"/>
      <c r="S38" s="392"/>
      <c r="T38" s="392"/>
      <c r="U38" s="392"/>
      <c r="V38" s="392"/>
      <c r="W38" s="392"/>
      <c r="X38" s="396"/>
      <c r="Y38" s="396"/>
      <c r="Z38" s="396">
        <v>-924091</v>
      </c>
      <c r="AA38" s="396"/>
      <c r="AB38" s="396"/>
      <c r="AC38" s="396"/>
      <c r="AD38" s="393">
        <f t="shared" si="14"/>
        <v>952710</v>
      </c>
      <c r="AE38" s="394">
        <f t="shared" si="3"/>
        <v>1783573</v>
      </c>
    </row>
    <row r="39" spans="1:31">
      <c r="A39" s="290"/>
      <c r="B39" s="291" t="s">
        <v>281</v>
      </c>
      <c r="C39" s="292"/>
      <c r="D39" s="571"/>
      <c r="E39" s="292">
        <f>SUM(E32:E38)</f>
        <v>1402547</v>
      </c>
      <c r="F39" s="557">
        <f>SUM(F32:F38)</f>
        <v>1409778</v>
      </c>
      <c r="G39" s="558"/>
      <c r="H39" s="557">
        <f t="shared" ref="H39:AB39" si="17">SUM(H32:H38)</f>
        <v>1514863</v>
      </c>
      <c r="I39" s="558"/>
      <c r="J39" s="293">
        <f t="shared" si="17"/>
        <v>1542587</v>
      </c>
      <c r="K39" s="389"/>
      <c r="L39" s="293">
        <f t="shared" si="17"/>
        <v>30703</v>
      </c>
      <c r="M39" s="389"/>
      <c r="N39" s="293">
        <f t="shared" si="17"/>
        <v>62500</v>
      </c>
      <c r="O39" s="389"/>
      <c r="P39" s="293">
        <f t="shared" si="17"/>
        <v>62500</v>
      </c>
      <c r="Q39" s="389"/>
      <c r="R39" s="293">
        <f t="shared" si="17"/>
        <v>62500</v>
      </c>
      <c r="S39" s="389"/>
      <c r="T39" s="293">
        <f t="shared" si="17"/>
        <v>62500</v>
      </c>
      <c r="U39" s="389"/>
      <c r="V39" s="293">
        <f t="shared" si="17"/>
        <v>62500</v>
      </c>
      <c r="W39" s="389"/>
      <c r="X39" s="293">
        <f t="shared" si="17"/>
        <v>-205958</v>
      </c>
      <c r="Y39" s="389"/>
      <c r="Z39" s="293">
        <f t="shared" si="17"/>
        <v>-861591</v>
      </c>
      <c r="AA39" s="389"/>
      <c r="AB39" s="293">
        <f t="shared" si="17"/>
        <v>-537521</v>
      </c>
      <c r="AC39" s="389"/>
      <c r="AD39" s="294">
        <f>SUM(AD32:AD38)</f>
        <v>1542587</v>
      </c>
      <c r="AE39" s="296"/>
    </row>
    <row r="40" spans="1:31" ht="16" thickBot="1">
      <c r="A40" s="243"/>
      <c r="B40" s="180"/>
      <c r="C40" s="180"/>
      <c r="D40" s="261"/>
      <c r="E40" s="245"/>
      <c r="F40" s="553"/>
      <c r="G40" s="554"/>
      <c r="H40" s="569"/>
      <c r="I40" s="554"/>
      <c r="AE40" s="296"/>
    </row>
    <row r="41" spans="1:31" ht="17" thickBot="1">
      <c r="A41" s="284" t="s">
        <v>867</v>
      </c>
      <c r="B41" s="285"/>
      <c r="C41" s="286"/>
      <c r="D41" s="573"/>
      <c r="E41" s="286"/>
      <c r="F41" s="551"/>
      <c r="G41" s="552"/>
      <c r="H41" s="568"/>
      <c r="I41" s="552"/>
      <c r="J41" s="287"/>
      <c r="K41" s="287"/>
      <c r="L41" s="287"/>
      <c r="M41" s="287"/>
      <c r="N41" s="287"/>
      <c r="O41" s="287"/>
      <c r="P41" s="287"/>
      <c r="Q41" s="287"/>
      <c r="R41" s="287"/>
      <c r="S41" s="287"/>
      <c r="T41" s="287"/>
      <c r="U41" s="287"/>
      <c r="V41" s="287"/>
      <c r="W41" s="287"/>
      <c r="X41" s="287"/>
      <c r="Y41" s="287"/>
      <c r="Z41" s="287"/>
      <c r="AA41" s="287"/>
      <c r="AB41" s="287"/>
      <c r="AC41" s="287"/>
      <c r="AD41" s="288"/>
      <c r="AE41" s="296"/>
    </row>
    <row r="42" spans="1:31">
      <c r="A42" s="243"/>
      <c r="B42" s="180" t="s">
        <v>317</v>
      </c>
      <c r="C42" s="180"/>
      <c r="D42" s="261">
        <v>50000</v>
      </c>
      <c r="E42" s="245">
        <v>21293.220000000005</v>
      </c>
      <c r="F42" s="562">
        <v>21366</v>
      </c>
      <c r="G42" s="563">
        <f>F42-E42</f>
        <v>72.779999999995198</v>
      </c>
      <c r="H42" s="562">
        <v>21433</v>
      </c>
      <c r="I42" s="563">
        <f>H42-F42</f>
        <v>67</v>
      </c>
      <c r="J42" s="289">
        <v>21506</v>
      </c>
      <c r="K42" s="289">
        <f>J42-H42</f>
        <v>73</v>
      </c>
      <c r="L42" s="289"/>
      <c r="M42" s="289"/>
      <c r="N42" s="289"/>
      <c r="O42" s="289"/>
      <c r="P42" s="289"/>
      <c r="Q42" s="289"/>
      <c r="R42" s="289"/>
      <c r="S42" s="289"/>
      <c r="T42" s="289"/>
      <c r="U42" s="289"/>
      <c r="V42" s="289"/>
      <c r="W42" s="289"/>
      <c r="X42" s="289"/>
      <c r="Y42" s="289"/>
      <c r="Z42" s="289"/>
      <c r="AA42" s="289"/>
      <c r="AB42" s="289"/>
      <c r="AC42" s="289"/>
      <c r="AD42" s="393">
        <f t="shared" ref="AD42:AD43" si="18">E42+G42+I42+K42+M42+O42+Q42+S42+U42+W42+Y42+AA42+AC42</f>
        <v>21506</v>
      </c>
      <c r="AE42" s="296">
        <f t="shared" si="3"/>
        <v>42799.22</v>
      </c>
    </row>
    <row r="43" spans="1:31">
      <c r="A43" s="243"/>
      <c r="B43" s="187" t="s">
        <v>11</v>
      </c>
      <c r="C43" s="187"/>
      <c r="D43" s="249">
        <v>592468</v>
      </c>
      <c r="E43" s="297">
        <v>713397.46</v>
      </c>
      <c r="F43" s="562">
        <v>79714</v>
      </c>
      <c r="G43" s="564">
        <f>F43-E43</f>
        <v>-633683.46</v>
      </c>
      <c r="H43" s="562">
        <v>211997</v>
      </c>
      <c r="I43" s="563">
        <f>H43-F43</f>
        <v>132283</v>
      </c>
      <c r="J43" s="289">
        <v>270030</v>
      </c>
      <c r="K43" s="289">
        <f>J43-H43</f>
        <v>58033</v>
      </c>
      <c r="L43" s="289"/>
      <c r="M43" s="289"/>
      <c r="N43" s="289"/>
      <c r="O43" s="289"/>
      <c r="P43" s="289"/>
      <c r="Q43" s="289"/>
      <c r="R43" s="289"/>
      <c r="S43" s="289"/>
      <c r="T43" s="289"/>
      <c r="U43" s="289"/>
      <c r="V43" s="289"/>
      <c r="W43" s="289"/>
      <c r="X43" s="289"/>
      <c r="Y43" s="289"/>
      <c r="Z43" s="289"/>
      <c r="AA43" s="289"/>
      <c r="AB43" s="289"/>
      <c r="AC43" s="289"/>
      <c r="AD43" s="393">
        <f t="shared" si="18"/>
        <v>270030</v>
      </c>
      <c r="AE43" s="296">
        <f t="shared" si="3"/>
        <v>983427.46</v>
      </c>
    </row>
    <row r="44" spans="1:31">
      <c r="A44" s="290"/>
      <c r="B44" s="291" t="s">
        <v>281</v>
      </c>
      <c r="C44" s="292"/>
      <c r="D44" s="571"/>
      <c r="E44" s="292">
        <f t="shared" ref="E44:AD44" si="19">SUM(E42:E43)</f>
        <v>734690.67999999993</v>
      </c>
      <c r="F44" s="557">
        <f t="shared" si="19"/>
        <v>101080</v>
      </c>
      <c r="G44" s="558"/>
      <c r="H44" s="557">
        <f t="shared" si="19"/>
        <v>233430</v>
      </c>
      <c r="I44" s="558"/>
      <c r="J44" s="293">
        <f t="shared" si="19"/>
        <v>291536</v>
      </c>
      <c r="K44" s="389"/>
      <c r="L44" s="293">
        <f t="shared" si="19"/>
        <v>0</v>
      </c>
      <c r="M44" s="389"/>
      <c r="N44" s="293">
        <f t="shared" si="19"/>
        <v>0</v>
      </c>
      <c r="O44" s="389"/>
      <c r="P44" s="293">
        <f t="shared" si="19"/>
        <v>0</v>
      </c>
      <c r="Q44" s="389"/>
      <c r="R44" s="293">
        <f t="shared" si="19"/>
        <v>0</v>
      </c>
      <c r="S44" s="389"/>
      <c r="T44" s="293">
        <f t="shared" si="19"/>
        <v>0</v>
      </c>
      <c r="U44" s="389"/>
      <c r="V44" s="293">
        <f t="shared" si="19"/>
        <v>0</v>
      </c>
      <c r="W44" s="389"/>
      <c r="X44" s="293">
        <f t="shared" si="19"/>
        <v>0</v>
      </c>
      <c r="Y44" s="389"/>
      <c r="Z44" s="293">
        <f t="shared" si="19"/>
        <v>0</v>
      </c>
      <c r="AA44" s="389"/>
      <c r="AB44" s="293">
        <f t="shared" si="19"/>
        <v>0</v>
      </c>
      <c r="AC44" s="389"/>
      <c r="AD44" s="293">
        <f t="shared" si="19"/>
        <v>291536</v>
      </c>
      <c r="AE44" s="296"/>
    </row>
    <row r="45" spans="1:31">
      <c r="A45" s="243"/>
      <c r="B45" s="180"/>
      <c r="C45" s="180"/>
      <c r="D45" s="261"/>
      <c r="E45" s="245"/>
      <c r="F45" s="553"/>
      <c r="G45" s="554"/>
      <c r="H45" s="569"/>
      <c r="I45" s="554"/>
      <c r="AE45" s="296"/>
    </row>
    <row r="46" spans="1:31" s="235" customFormat="1" ht="20" thickBot="1">
      <c r="A46" s="229" t="s">
        <v>318</v>
      </c>
      <c r="B46" s="230"/>
      <c r="C46" s="231"/>
      <c r="D46" s="572"/>
      <c r="E46" s="232"/>
      <c r="F46" s="549"/>
      <c r="G46" s="550"/>
      <c r="H46" s="567"/>
      <c r="I46" s="550"/>
      <c r="J46" s="234"/>
      <c r="K46" s="234"/>
      <c r="L46" s="234"/>
      <c r="M46" s="234"/>
      <c r="N46" s="234"/>
      <c r="O46" s="234"/>
      <c r="P46" s="234"/>
      <c r="Q46" s="234"/>
      <c r="R46" s="234"/>
      <c r="S46" s="234"/>
      <c r="T46" s="234"/>
      <c r="U46" s="234"/>
      <c r="V46" s="234"/>
      <c r="W46" s="234"/>
      <c r="X46" s="234"/>
      <c r="Y46" s="234"/>
      <c r="Z46" s="234"/>
      <c r="AA46" s="234"/>
      <c r="AB46" s="234"/>
      <c r="AC46" s="234"/>
      <c r="AD46" s="234"/>
      <c r="AE46" s="296"/>
    </row>
    <row r="47" spans="1:31" ht="17" thickBot="1">
      <c r="A47" s="284" t="s">
        <v>868</v>
      </c>
      <c r="B47" s="285"/>
      <c r="C47" s="286"/>
      <c r="D47" s="573"/>
      <c r="E47" s="286"/>
      <c r="F47" s="551"/>
      <c r="G47" s="552"/>
      <c r="H47" s="568"/>
      <c r="I47" s="552"/>
      <c r="J47" s="287"/>
      <c r="K47" s="287"/>
      <c r="L47" s="287"/>
      <c r="M47" s="287"/>
      <c r="N47" s="287"/>
      <c r="O47" s="287"/>
      <c r="P47" s="287"/>
      <c r="Q47" s="287"/>
      <c r="R47" s="287"/>
      <c r="S47" s="287"/>
      <c r="T47" s="287"/>
      <c r="U47" s="287"/>
      <c r="V47" s="287"/>
      <c r="W47" s="287"/>
      <c r="X47" s="287"/>
      <c r="Y47" s="287"/>
      <c r="Z47" s="287"/>
      <c r="AA47" s="287"/>
      <c r="AB47" s="287"/>
      <c r="AC47" s="287"/>
      <c r="AD47" s="288"/>
      <c r="AE47" s="296"/>
    </row>
    <row r="48" spans="1:31" s="400" customFormat="1">
      <c r="A48" s="390"/>
      <c r="B48" s="397" t="s">
        <v>243</v>
      </c>
      <c r="C48" s="397"/>
      <c r="D48" s="261">
        <v>2071600</v>
      </c>
      <c r="E48" s="397">
        <v>444089</v>
      </c>
      <c r="F48" s="555">
        <v>445169</v>
      </c>
      <c r="G48" s="556">
        <f>F48-E48</f>
        <v>1080</v>
      </c>
      <c r="H48" s="555">
        <v>446183</v>
      </c>
      <c r="I48" s="556">
        <f>H48-F48</f>
        <v>1014</v>
      </c>
      <c r="J48" s="392">
        <v>447271</v>
      </c>
      <c r="K48" s="289">
        <f t="shared" ref="K48:K53" si="20">J48-H48</f>
        <v>1088</v>
      </c>
      <c r="L48" s="392"/>
      <c r="M48" s="392"/>
      <c r="N48" s="392"/>
      <c r="O48" s="392"/>
      <c r="P48" s="392"/>
      <c r="Q48" s="392"/>
      <c r="R48" s="392"/>
      <c r="S48" s="392"/>
      <c r="T48" s="392"/>
      <c r="U48" s="392"/>
      <c r="V48" s="392"/>
      <c r="W48" s="392"/>
      <c r="X48" s="392"/>
      <c r="Y48" s="392"/>
      <c r="Z48" s="392"/>
      <c r="AA48" s="392"/>
      <c r="AB48" s="392"/>
      <c r="AC48" s="392"/>
      <c r="AD48" s="393">
        <f t="shared" ref="AD48:AD53" si="21">E48+G48+I48+K48+M48+O48+Q48+S48+U48+W48+Y48+AA48+AC48</f>
        <v>447271</v>
      </c>
      <c r="AE48" s="394">
        <f t="shared" si="3"/>
        <v>891360</v>
      </c>
    </row>
    <row r="49" spans="1:31" s="400" customFormat="1">
      <c r="A49" s="390"/>
      <c r="B49" s="391" t="s">
        <v>320</v>
      </c>
      <c r="C49" s="391"/>
      <c r="D49" s="249">
        <v>450000</v>
      </c>
      <c r="E49" s="391">
        <v>48394</v>
      </c>
      <c r="F49" s="555">
        <v>47615</v>
      </c>
      <c r="G49" s="556">
        <f t="shared" ref="G49:G53" si="22">F49-E49</f>
        <v>-779</v>
      </c>
      <c r="H49" s="555">
        <v>50699</v>
      </c>
      <c r="I49" s="556">
        <f t="shared" ref="I49:I53" si="23">H49-F49</f>
        <v>3084</v>
      </c>
      <c r="J49" s="392">
        <v>50755</v>
      </c>
      <c r="K49" s="289">
        <f t="shared" si="20"/>
        <v>56</v>
      </c>
      <c r="L49" s="392"/>
      <c r="M49" s="392"/>
      <c r="N49" s="392"/>
      <c r="O49" s="392"/>
      <c r="P49" s="392"/>
      <c r="Q49" s="392"/>
      <c r="R49" s="392"/>
      <c r="S49" s="392"/>
      <c r="T49" s="392"/>
      <c r="U49" s="392"/>
      <c r="V49" s="392"/>
      <c r="W49" s="392"/>
      <c r="X49" s="392"/>
      <c r="Y49" s="392"/>
      <c r="Z49" s="392"/>
      <c r="AA49" s="392"/>
      <c r="AB49" s="392"/>
      <c r="AC49" s="392"/>
      <c r="AD49" s="393">
        <f t="shared" si="21"/>
        <v>50755</v>
      </c>
      <c r="AE49" s="394">
        <f t="shared" si="3"/>
        <v>99149</v>
      </c>
    </row>
    <row r="50" spans="1:31" s="400" customFormat="1">
      <c r="A50" s="390"/>
      <c r="B50" s="391" t="s">
        <v>322</v>
      </c>
      <c r="C50" s="391"/>
      <c r="D50" s="249">
        <v>70000</v>
      </c>
      <c r="E50" s="391">
        <v>33675</v>
      </c>
      <c r="F50" s="555">
        <v>7923</v>
      </c>
      <c r="G50" s="556">
        <f t="shared" si="22"/>
        <v>-25752</v>
      </c>
      <c r="H50" s="555">
        <v>7954</v>
      </c>
      <c r="I50" s="556">
        <f t="shared" si="23"/>
        <v>31</v>
      </c>
      <c r="J50" s="392">
        <v>7987</v>
      </c>
      <c r="K50" s="289">
        <f t="shared" si="20"/>
        <v>33</v>
      </c>
      <c r="L50" s="392"/>
      <c r="M50" s="392"/>
      <c r="N50" s="392"/>
      <c r="O50" s="392"/>
      <c r="P50" s="392"/>
      <c r="Q50" s="392"/>
      <c r="R50" s="392"/>
      <c r="S50" s="392"/>
      <c r="T50" s="392"/>
      <c r="U50" s="392"/>
      <c r="V50" s="392"/>
      <c r="W50" s="392"/>
      <c r="X50" s="392"/>
      <c r="Y50" s="392"/>
      <c r="Z50" s="392"/>
      <c r="AA50" s="392"/>
      <c r="AB50" s="392"/>
      <c r="AC50" s="392"/>
      <c r="AD50" s="393">
        <f t="shared" si="21"/>
        <v>7987</v>
      </c>
      <c r="AE50" s="394">
        <f t="shared" si="3"/>
        <v>41662</v>
      </c>
    </row>
    <row r="51" spans="1:31" s="400" customFormat="1">
      <c r="A51" s="390"/>
      <c r="B51" s="391" t="s">
        <v>19</v>
      </c>
      <c r="C51" s="391"/>
      <c r="D51" s="249">
        <v>51000</v>
      </c>
      <c r="E51" s="391">
        <v>52727</v>
      </c>
      <c r="F51" s="555">
        <v>52727</v>
      </c>
      <c r="G51" s="556">
        <f t="shared" si="22"/>
        <v>0</v>
      </c>
      <c r="H51" s="555">
        <v>52727</v>
      </c>
      <c r="I51" s="556">
        <f t="shared" si="23"/>
        <v>0</v>
      </c>
      <c r="J51" s="392">
        <v>52727</v>
      </c>
      <c r="K51" s="289">
        <f t="shared" si="20"/>
        <v>0</v>
      </c>
      <c r="L51" s="392"/>
      <c r="M51" s="392"/>
      <c r="N51" s="392"/>
      <c r="O51" s="392"/>
      <c r="P51" s="392"/>
      <c r="Q51" s="392"/>
      <c r="R51" s="392"/>
      <c r="S51" s="392"/>
      <c r="T51" s="392"/>
      <c r="U51" s="392"/>
      <c r="V51" s="392"/>
      <c r="W51" s="392"/>
      <c r="X51" s="392"/>
      <c r="Y51" s="392"/>
      <c r="Z51" s="392"/>
      <c r="AA51" s="392"/>
      <c r="AB51" s="392"/>
      <c r="AC51" s="392"/>
      <c r="AD51" s="393">
        <f t="shared" si="21"/>
        <v>52727</v>
      </c>
      <c r="AE51" s="394">
        <f t="shared" si="3"/>
        <v>105454</v>
      </c>
    </row>
    <row r="52" spans="1:31" s="400" customFormat="1">
      <c r="A52" s="390"/>
      <c r="B52" s="391" t="s">
        <v>325</v>
      </c>
      <c r="C52" s="391"/>
      <c r="D52" s="249">
        <v>0</v>
      </c>
      <c r="E52" s="391">
        <v>26660</v>
      </c>
      <c r="F52" s="555">
        <v>26660</v>
      </c>
      <c r="G52" s="556">
        <f t="shared" si="22"/>
        <v>0</v>
      </c>
      <c r="H52" s="555">
        <v>27539</v>
      </c>
      <c r="I52" s="556">
        <f t="shared" si="23"/>
        <v>879</v>
      </c>
      <c r="J52" s="392">
        <v>27539</v>
      </c>
      <c r="K52" s="289">
        <f t="shared" si="20"/>
        <v>0</v>
      </c>
      <c r="L52" s="392"/>
      <c r="M52" s="392"/>
      <c r="N52" s="392"/>
      <c r="O52" s="392"/>
      <c r="P52" s="392"/>
      <c r="Q52" s="392"/>
      <c r="R52" s="392"/>
      <c r="S52" s="392"/>
      <c r="T52" s="392"/>
      <c r="U52" s="392"/>
      <c r="V52" s="392"/>
      <c r="W52" s="392"/>
      <c r="X52" s="392"/>
      <c r="Y52" s="392"/>
      <c r="Z52" s="392"/>
      <c r="AA52" s="392"/>
      <c r="AB52" s="392"/>
      <c r="AC52" s="392"/>
      <c r="AD52" s="393">
        <f t="shared" si="21"/>
        <v>27539</v>
      </c>
      <c r="AE52" s="394">
        <f t="shared" si="3"/>
        <v>54199</v>
      </c>
    </row>
    <row r="53" spans="1:31" s="400" customFormat="1">
      <c r="A53" s="390"/>
      <c r="B53" s="397" t="s">
        <v>4</v>
      </c>
      <c r="C53" s="397"/>
      <c r="D53" s="261">
        <v>0</v>
      </c>
      <c r="E53" s="397">
        <v>2837</v>
      </c>
      <c r="F53" s="555">
        <v>0</v>
      </c>
      <c r="G53" s="556">
        <f t="shared" si="22"/>
        <v>-2837</v>
      </c>
      <c r="H53" s="555">
        <v>0</v>
      </c>
      <c r="I53" s="556">
        <f t="shared" si="23"/>
        <v>0</v>
      </c>
      <c r="J53" s="392">
        <v>0</v>
      </c>
      <c r="K53" s="289">
        <f t="shared" si="20"/>
        <v>0</v>
      </c>
      <c r="L53" s="392"/>
      <c r="M53" s="392"/>
      <c r="N53" s="392"/>
      <c r="O53" s="392"/>
      <c r="P53" s="392"/>
      <c r="Q53" s="392"/>
      <c r="R53" s="392"/>
      <c r="S53" s="392"/>
      <c r="T53" s="392"/>
      <c r="U53" s="392"/>
      <c r="V53" s="392"/>
      <c r="W53" s="392"/>
      <c r="X53" s="392"/>
      <c r="Y53" s="392"/>
      <c r="Z53" s="392"/>
      <c r="AA53" s="392"/>
      <c r="AB53" s="392"/>
      <c r="AC53" s="392"/>
      <c r="AD53" s="393">
        <f t="shared" si="21"/>
        <v>0</v>
      </c>
      <c r="AE53" s="394">
        <f t="shared" si="3"/>
        <v>2837</v>
      </c>
    </row>
    <row r="54" spans="1:31">
      <c r="A54" s="290"/>
      <c r="B54" s="291" t="s">
        <v>281</v>
      </c>
      <c r="C54" s="292"/>
      <c r="D54" s="571"/>
      <c r="E54" s="292">
        <f>SUM(E48:E53)</f>
        <v>608382</v>
      </c>
      <c r="F54" s="557">
        <f>SUM(F48:F53)</f>
        <v>580094</v>
      </c>
      <c r="G54" s="558"/>
      <c r="H54" s="557">
        <f t="shared" ref="H54:AD54" si="24">SUM(H48:H53)</f>
        <v>585102</v>
      </c>
      <c r="I54" s="558"/>
      <c r="J54" s="293">
        <f t="shared" si="24"/>
        <v>586279</v>
      </c>
      <c r="K54" s="389"/>
      <c r="L54" s="293">
        <f t="shared" si="24"/>
        <v>0</v>
      </c>
      <c r="M54" s="389"/>
      <c r="N54" s="293">
        <f t="shared" si="24"/>
        <v>0</v>
      </c>
      <c r="O54" s="389"/>
      <c r="P54" s="293">
        <f t="shared" si="24"/>
        <v>0</v>
      </c>
      <c r="Q54" s="389"/>
      <c r="R54" s="293">
        <f t="shared" si="24"/>
        <v>0</v>
      </c>
      <c r="S54" s="389"/>
      <c r="T54" s="293">
        <f t="shared" si="24"/>
        <v>0</v>
      </c>
      <c r="U54" s="389"/>
      <c r="V54" s="293">
        <f t="shared" si="24"/>
        <v>0</v>
      </c>
      <c r="W54" s="389"/>
      <c r="X54" s="293">
        <f t="shared" si="24"/>
        <v>0</v>
      </c>
      <c r="Y54" s="389"/>
      <c r="Z54" s="293">
        <f t="shared" si="24"/>
        <v>0</v>
      </c>
      <c r="AA54" s="389"/>
      <c r="AB54" s="293">
        <f t="shared" si="24"/>
        <v>0</v>
      </c>
      <c r="AC54" s="389"/>
      <c r="AD54" s="293">
        <f t="shared" si="24"/>
        <v>586279</v>
      </c>
      <c r="AE54" s="296"/>
    </row>
    <row r="55" spans="1:31">
      <c r="A55" s="243"/>
      <c r="B55" s="180"/>
      <c r="C55" s="180"/>
      <c r="D55" s="261"/>
      <c r="E55" s="245"/>
      <c r="F55" s="553"/>
      <c r="G55" s="554"/>
      <c r="H55" s="569"/>
      <c r="I55" s="554"/>
      <c r="AE55" s="296"/>
    </row>
    <row r="56" spans="1:31" s="235" customFormat="1" ht="20" thickBot="1">
      <c r="A56" s="229" t="s">
        <v>326</v>
      </c>
      <c r="B56" s="230"/>
      <c r="C56" s="231"/>
      <c r="D56" s="572"/>
      <c r="E56" s="232"/>
      <c r="F56" s="549"/>
      <c r="G56" s="550"/>
      <c r="H56" s="567"/>
      <c r="I56" s="550"/>
      <c r="J56" s="234"/>
      <c r="K56" s="234"/>
      <c r="L56" s="234"/>
      <c r="M56" s="234"/>
      <c r="N56" s="234"/>
      <c r="O56" s="234"/>
      <c r="P56" s="234"/>
      <c r="Q56" s="234"/>
      <c r="R56" s="234"/>
      <c r="S56" s="234"/>
      <c r="T56" s="234"/>
      <c r="U56" s="234"/>
      <c r="V56" s="234"/>
      <c r="W56" s="234"/>
      <c r="X56" s="234"/>
      <c r="Y56" s="234"/>
      <c r="Z56" s="234"/>
      <c r="AA56" s="234"/>
      <c r="AB56" s="234"/>
      <c r="AC56" s="234"/>
      <c r="AD56" s="234"/>
      <c r="AE56" s="296"/>
    </row>
    <row r="57" spans="1:31" ht="17" thickBot="1">
      <c r="A57" s="284" t="s">
        <v>869</v>
      </c>
      <c r="B57" s="285"/>
      <c r="C57" s="286"/>
      <c r="D57" s="573"/>
      <c r="E57" s="286"/>
      <c r="F57" s="551"/>
      <c r="G57" s="552"/>
      <c r="H57" s="568"/>
      <c r="I57" s="552"/>
      <c r="J57" s="287"/>
      <c r="K57" s="287"/>
      <c r="L57" s="287"/>
      <c r="M57" s="287"/>
      <c r="N57" s="287"/>
      <c r="O57" s="287"/>
      <c r="P57" s="287"/>
      <c r="Q57" s="287"/>
      <c r="R57" s="287"/>
      <c r="S57" s="287"/>
      <c r="T57" s="287"/>
      <c r="U57" s="287"/>
      <c r="V57" s="287"/>
      <c r="W57" s="287"/>
      <c r="X57" s="287"/>
      <c r="Y57" s="287"/>
      <c r="Z57" s="287"/>
      <c r="AA57" s="287"/>
      <c r="AB57" s="287"/>
      <c r="AC57" s="287"/>
      <c r="AD57" s="288"/>
      <c r="AE57" s="296"/>
    </row>
    <row r="58" spans="1:31">
      <c r="A58" s="243"/>
      <c r="B58" s="180" t="s">
        <v>327</v>
      </c>
      <c r="C58" s="180"/>
      <c r="D58" s="261">
        <v>150000</v>
      </c>
      <c r="E58" s="245">
        <v>68279.77</v>
      </c>
      <c r="F58" s="562">
        <v>71378</v>
      </c>
      <c r="G58" s="563">
        <f>F58-E58</f>
        <v>3098.2299999999959</v>
      </c>
      <c r="H58" s="562">
        <v>71674</v>
      </c>
      <c r="I58" s="563">
        <f>H58-F58</f>
        <v>296</v>
      </c>
      <c r="J58" s="289">
        <v>69195</v>
      </c>
      <c r="K58" s="289">
        <f t="shared" ref="K58:K61" si="25">J58-H58</f>
        <v>-2479</v>
      </c>
      <c r="L58" s="289"/>
      <c r="M58" s="289"/>
      <c r="N58" s="289"/>
      <c r="O58" s="289"/>
      <c r="P58" s="289"/>
      <c r="Q58" s="289"/>
      <c r="R58" s="289"/>
      <c r="S58" s="289"/>
      <c r="T58" s="289"/>
      <c r="U58" s="289"/>
      <c r="V58" s="289"/>
      <c r="W58" s="289"/>
      <c r="X58" s="289"/>
      <c r="Y58" s="289"/>
      <c r="Z58" s="289"/>
      <c r="AA58" s="289"/>
      <c r="AB58" s="289"/>
      <c r="AC58" s="289"/>
      <c r="AD58" s="393">
        <f t="shared" ref="AD58:AD61" si="26">E58+G58+I58+K58+M58+O58+Q58+S58+U58+W58+Y58+AA58+AC58</f>
        <v>69195</v>
      </c>
      <c r="AE58" s="296">
        <f t="shared" si="3"/>
        <v>137474.77000000002</v>
      </c>
    </row>
    <row r="59" spans="1:31">
      <c r="A59" s="243"/>
      <c r="B59" s="187" t="s">
        <v>328</v>
      </c>
      <c r="C59" s="187"/>
      <c r="D59" s="249">
        <v>145000</v>
      </c>
      <c r="E59" s="297">
        <v>66276.52</v>
      </c>
      <c r="F59" s="562">
        <v>66552</v>
      </c>
      <c r="G59" s="563">
        <f t="shared" ref="G59:G61" si="27">F59-E59</f>
        <v>275.47999999999593</v>
      </c>
      <c r="H59" s="562">
        <v>66881</v>
      </c>
      <c r="I59" s="563">
        <f t="shared" ref="I59:I61" si="28">H59-F59</f>
        <v>329</v>
      </c>
      <c r="J59" s="289">
        <v>67089</v>
      </c>
      <c r="K59" s="289">
        <f t="shared" si="25"/>
        <v>208</v>
      </c>
      <c r="L59" s="289"/>
      <c r="M59" s="289"/>
      <c r="N59" s="289"/>
      <c r="O59" s="289"/>
      <c r="P59" s="289"/>
      <c r="Q59" s="289"/>
      <c r="R59" s="289"/>
      <c r="S59" s="289"/>
      <c r="T59" s="289"/>
      <c r="U59" s="289"/>
      <c r="V59" s="289"/>
      <c r="W59" s="289"/>
      <c r="X59" s="289"/>
      <c r="Y59" s="289"/>
      <c r="Z59" s="289"/>
      <c r="AA59" s="289"/>
      <c r="AB59" s="289"/>
      <c r="AC59" s="289"/>
      <c r="AD59" s="393">
        <f t="shared" si="26"/>
        <v>67089</v>
      </c>
      <c r="AE59" s="296">
        <f t="shared" si="3"/>
        <v>133365.52000000002</v>
      </c>
    </row>
    <row r="60" spans="1:31">
      <c r="A60" s="243"/>
      <c r="B60" s="187" t="s">
        <v>329</v>
      </c>
      <c r="C60" s="187"/>
      <c r="D60" s="249">
        <v>41500</v>
      </c>
      <c r="E60" s="297">
        <v>2597.5899999999965</v>
      </c>
      <c r="F60" s="562">
        <v>2598</v>
      </c>
      <c r="G60" s="563">
        <f t="shared" si="27"/>
        <v>0.41000000000349246</v>
      </c>
      <c r="H60" s="562">
        <v>2598</v>
      </c>
      <c r="I60" s="563">
        <f t="shared" si="28"/>
        <v>0</v>
      </c>
      <c r="J60" s="289">
        <v>2598</v>
      </c>
      <c r="K60" s="289">
        <f t="shared" si="25"/>
        <v>0</v>
      </c>
      <c r="L60" s="289"/>
      <c r="M60" s="289"/>
      <c r="N60" s="289"/>
      <c r="O60" s="289"/>
      <c r="P60" s="289"/>
      <c r="Q60" s="289"/>
      <c r="R60" s="289"/>
      <c r="S60" s="289"/>
      <c r="T60" s="289"/>
      <c r="U60" s="289"/>
      <c r="V60" s="289"/>
      <c r="W60" s="289"/>
      <c r="X60" s="289"/>
      <c r="Y60" s="289"/>
      <c r="Z60" s="289"/>
      <c r="AA60" s="289"/>
      <c r="AB60" s="289"/>
      <c r="AC60" s="289"/>
      <c r="AD60" s="393">
        <f t="shared" si="26"/>
        <v>2598</v>
      </c>
      <c r="AE60" s="296">
        <f t="shared" si="3"/>
        <v>5195.5899999999965</v>
      </c>
    </row>
    <row r="61" spans="1:31">
      <c r="A61" s="243"/>
      <c r="B61" s="187" t="s">
        <v>23</v>
      </c>
      <c r="C61" s="187"/>
      <c r="D61" s="249">
        <v>53000</v>
      </c>
      <c r="E61" s="297">
        <v>240.11000000000786</v>
      </c>
      <c r="F61" s="562">
        <v>320</v>
      </c>
      <c r="G61" s="563">
        <f t="shared" si="27"/>
        <v>79.889999999992142</v>
      </c>
      <c r="H61" s="562">
        <v>395</v>
      </c>
      <c r="I61" s="563">
        <f t="shared" si="28"/>
        <v>75</v>
      </c>
      <c r="J61" s="289">
        <v>476</v>
      </c>
      <c r="K61" s="289">
        <f t="shared" si="25"/>
        <v>81</v>
      </c>
      <c r="L61" s="289"/>
      <c r="M61" s="289"/>
      <c r="N61" s="289"/>
      <c r="O61" s="289"/>
      <c r="P61" s="289"/>
      <c r="Q61" s="289"/>
      <c r="R61" s="289"/>
      <c r="S61" s="289"/>
      <c r="T61" s="289"/>
      <c r="U61" s="289"/>
      <c r="V61" s="289"/>
      <c r="W61" s="289"/>
      <c r="X61" s="289"/>
      <c r="Y61" s="289"/>
      <c r="Z61" s="289"/>
      <c r="AA61" s="289"/>
      <c r="AB61" s="289"/>
      <c r="AC61" s="289"/>
      <c r="AD61" s="393">
        <f t="shared" si="26"/>
        <v>476</v>
      </c>
      <c r="AE61" s="296">
        <f t="shared" si="3"/>
        <v>716.11000000000786</v>
      </c>
    </row>
    <row r="62" spans="1:31">
      <c r="A62" s="290"/>
      <c r="B62" s="291" t="s">
        <v>281</v>
      </c>
      <c r="C62" s="292"/>
      <c r="D62" s="571"/>
      <c r="E62" s="292">
        <f t="shared" ref="E62:AD62" si="29">SUM(E58:E61)</f>
        <v>137393.99000000002</v>
      </c>
      <c r="F62" s="557">
        <f t="shared" si="29"/>
        <v>140848</v>
      </c>
      <c r="G62" s="558"/>
      <c r="H62" s="557">
        <f t="shared" si="29"/>
        <v>141548</v>
      </c>
      <c r="I62" s="558"/>
      <c r="J62" s="293">
        <f t="shared" si="29"/>
        <v>139358</v>
      </c>
      <c r="K62" s="389"/>
      <c r="L62" s="293">
        <f t="shared" si="29"/>
        <v>0</v>
      </c>
      <c r="M62" s="389"/>
      <c r="N62" s="293">
        <f t="shared" si="29"/>
        <v>0</v>
      </c>
      <c r="O62" s="389"/>
      <c r="P62" s="293">
        <f t="shared" si="29"/>
        <v>0</v>
      </c>
      <c r="Q62" s="389"/>
      <c r="R62" s="293">
        <f t="shared" si="29"/>
        <v>0</v>
      </c>
      <c r="S62" s="389"/>
      <c r="T62" s="293">
        <f t="shared" si="29"/>
        <v>0</v>
      </c>
      <c r="U62" s="389"/>
      <c r="V62" s="293">
        <f t="shared" si="29"/>
        <v>0</v>
      </c>
      <c r="W62" s="389"/>
      <c r="X62" s="293">
        <f t="shared" si="29"/>
        <v>0</v>
      </c>
      <c r="Y62" s="389"/>
      <c r="Z62" s="293">
        <f t="shared" si="29"/>
        <v>0</v>
      </c>
      <c r="AA62" s="389"/>
      <c r="AB62" s="293">
        <f t="shared" si="29"/>
        <v>0</v>
      </c>
      <c r="AC62" s="389"/>
      <c r="AD62" s="293">
        <f t="shared" si="29"/>
        <v>139358</v>
      </c>
      <c r="AE62" s="296"/>
    </row>
    <row r="63" spans="1:31" ht="16" thickBot="1">
      <c r="A63" s="258"/>
      <c r="B63" s="259" t="s">
        <v>282</v>
      </c>
      <c r="C63" s="258"/>
      <c r="D63" s="258"/>
      <c r="E63" s="258">
        <f>E62</f>
        <v>137393.99000000002</v>
      </c>
      <c r="F63" s="565">
        <f>E63+F62</f>
        <v>278241.99</v>
      </c>
      <c r="G63" s="566"/>
      <c r="H63" s="565">
        <f>F63+H62</f>
        <v>419789.99</v>
      </c>
      <c r="I63" s="566"/>
      <c r="J63" s="295">
        <f>H63+J62</f>
        <v>559147.99</v>
      </c>
      <c r="K63" s="295"/>
      <c r="L63" s="295">
        <f>J63+L62</f>
        <v>559147.99</v>
      </c>
      <c r="M63" s="295"/>
      <c r="N63" s="295">
        <f>L63+N62</f>
        <v>559147.99</v>
      </c>
      <c r="O63" s="295"/>
      <c r="P63" s="295">
        <f>N63+P62</f>
        <v>559147.99</v>
      </c>
      <c r="Q63" s="295"/>
      <c r="R63" s="295">
        <f>P63+R62</f>
        <v>559147.99</v>
      </c>
      <c r="S63" s="295"/>
      <c r="T63" s="295">
        <f>R63+T62</f>
        <v>559147.99</v>
      </c>
      <c r="U63" s="295"/>
      <c r="V63" s="295">
        <f>T63+V62</f>
        <v>559147.99</v>
      </c>
      <c r="W63" s="295"/>
      <c r="X63" s="295">
        <f>V63+X62</f>
        <v>559147.99</v>
      </c>
      <c r="Y63" s="295"/>
      <c r="Z63" s="295">
        <f>X63+Z62</f>
        <v>559147.99</v>
      </c>
      <c r="AA63" s="295"/>
      <c r="AB63" s="295">
        <f t="shared" ref="AB63" si="30">Z63+AB62</f>
        <v>559147.99</v>
      </c>
      <c r="AC63" s="295"/>
      <c r="AD63" s="295">
        <f>E63+AD62</f>
        <v>276751.99</v>
      </c>
      <c r="AE63" s="296"/>
    </row>
    <row r="64" spans="1:31" ht="16" thickTop="1">
      <c r="A64" s="243"/>
      <c r="B64" s="180"/>
      <c r="C64" s="180"/>
      <c r="D64" s="261"/>
      <c r="E64" s="245"/>
    </row>
    <row r="65" spans="1:5">
      <c r="A65" s="243"/>
      <c r="B65" s="180"/>
      <c r="C65" s="180"/>
      <c r="D65" s="261"/>
      <c r="E65" s="245"/>
    </row>
    <row r="66" spans="1:5">
      <c r="A66" s="243"/>
      <c r="B66" s="180"/>
      <c r="C66" s="180"/>
      <c r="D66" s="261"/>
      <c r="E66" s="245"/>
    </row>
    <row r="67" spans="1:5">
      <c r="A67" s="243"/>
      <c r="B67" s="180"/>
      <c r="C67" s="180"/>
      <c r="D67" s="261"/>
      <c r="E67" s="245"/>
    </row>
    <row r="68" spans="1:5">
      <c r="A68" s="243"/>
      <c r="B68" s="180"/>
      <c r="C68" s="180"/>
      <c r="D68" s="261"/>
      <c r="E68" s="245"/>
    </row>
    <row r="69" spans="1:5">
      <c r="A69" s="243"/>
      <c r="B69" s="180"/>
      <c r="C69" s="180"/>
      <c r="D69" s="261"/>
      <c r="E69" s="245"/>
    </row>
    <row r="70" spans="1:5">
      <c r="A70" s="243"/>
      <c r="B70" s="180"/>
      <c r="C70" s="180"/>
      <c r="D70" s="261"/>
      <c r="E70" s="245"/>
    </row>
    <row r="71" spans="1:5">
      <c r="A71" s="243"/>
      <c r="B71" s="180"/>
      <c r="C71" s="180"/>
      <c r="D71" s="261"/>
      <c r="E71" s="245"/>
    </row>
    <row r="72" spans="1:5">
      <c r="A72" s="243"/>
      <c r="B72" s="180"/>
      <c r="C72" s="180"/>
      <c r="D72" s="261"/>
      <c r="E72" s="245"/>
    </row>
    <row r="73" spans="1:5">
      <c r="A73" s="243"/>
      <c r="B73" s="180"/>
      <c r="C73" s="180"/>
      <c r="D73" s="261"/>
      <c r="E73" s="245"/>
    </row>
    <row r="74" spans="1:5">
      <c r="A74" s="243"/>
      <c r="B74" s="180"/>
      <c r="C74" s="180"/>
      <c r="D74" s="261"/>
      <c r="E74" s="245"/>
    </row>
    <row r="75" spans="1:5">
      <c r="A75" s="243"/>
      <c r="B75" s="180"/>
      <c r="C75" s="180"/>
      <c r="D75" s="261"/>
      <c r="E75" s="245"/>
    </row>
    <row r="76" spans="1:5">
      <c r="A76" s="243"/>
      <c r="B76" s="180"/>
      <c r="C76" s="180"/>
      <c r="D76" s="261"/>
      <c r="E76" s="245"/>
    </row>
    <row r="77" spans="1:5">
      <c r="A77" s="243"/>
      <c r="B77" s="180"/>
      <c r="C77" s="180"/>
      <c r="D77" s="261"/>
      <c r="E77" s="245"/>
    </row>
    <row r="78" spans="1:5">
      <c r="A78" s="243"/>
      <c r="B78" s="180"/>
      <c r="C78" s="180"/>
      <c r="D78" s="261"/>
      <c r="E78" s="245"/>
    </row>
    <row r="79" spans="1:5">
      <c r="A79" s="243"/>
      <c r="B79" s="180"/>
      <c r="C79" s="180"/>
      <c r="D79" s="261"/>
      <c r="E79" s="245"/>
    </row>
    <row r="80" spans="1:5">
      <c r="A80" s="243"/>
      <c r="B80" s="180"/>
      <c r="C80" s="180"/>
      <c r="D80" s="261"/>
      <c r="E80" s="245"/>
    </row>
    <row r="81" spans="1:5">
      <c r="A81" s="243"/>
      <c r="B81" s="180"/>
      <c r="C81" s="180"/>
      <c r="D81" s="261"/>
      <c r="E81" s="245"/>
    </row>
    <row r="82" spans="1:5">
      <c r="A82" s="243"/>
      <c r="B82" s="180"/>
      <c r="C82" s="180"/>
      <c r="D82" s="261"/>
      <c r="E82" s="245"/>
    </row>
    <row r="83" spans="1:5">
      <c r="A83" s="243"/>
      <c r="B83" s="180"/>
      <c r="C83" s="180"/>
      <c r="D83" s="261"/>
      <c r="E83" s="245"/>
    </row>
    <row r="84" spans="1:5">
      <c r="A84" s="243"/>
      <c r="B84" s="180"/>
      <c r="C84" s="180"/>
      <c r="D84" s="261"/>
      <c r="E84" s="245"/>
    </row>
    <row r="85" spans="1:5">
      <c r="A85" s="243"/>
      <c r="B85" s="180"/>
      <c r="C85" s="180"/>
      <c r="D85" s="261"/>
      <c r="E85" s="245"/>
    </row>
    <row r="86" spans="1:5">
      <c r="A86" s="243"/>
      <c r="B86" s="180"/>
      <c r="C86" s="180"/>
      <c r="D86" s="261"/>
      <c r="E86" s="245"/>
    </row>
    <row r="87" spans="1:5">
      <c r="A87" s="243"/>
      <c r="B87" s="180"/>
      <c r="C87" s="180"/>
      <c r="D87" s="261"/>
      <c r="E87" s="245"/>
    </row>
    <row r="88" spans="1:5">
      <c r="A88" s="243"/>
      <c r="B88" s="180"/>
      <c r="C88" s="180"/>
      <c r="D88" s="261"/>
      <c r="E88" s="245"/>
    </row>
    <row r="89" spans="1:5">
      <c r="A89" s="243"/>
      <c r="B89" s="180"/>
      <c r="C89" s="180"/>
      <c r="D89" s="261"/>
      <c r="E89" s="245"/>
    </row>
    <row r="90" spans="1:5">
      <c r="A90" s="243"/>
      <c r="B90" s="180"/>
      <c r="C90" s="180"/>
      <c r="D90" s="261"/>
      <c r="E90" s="245"/>
    </row>
    <row r="91" spans="1:5">
      <c r="A91" s="243"/>
      <c r="B91" s="180"/>
      <c r="C91" s="180"/>
      <c r="D91" s="261"/>
      <c r="E91" s="245"/>
    </row>
    <row r="92" spans="1:5">
      <c r="A92" s="243"/>
      <c r="B92" s="180"/>
      <c r="C92" s="180"/>
      <c r="D92" s="261"/>
      <c r="E92" s="245"/>
    </row>
    <row r="93" spans="1:5">
      <c r="A93" s="243"/>
      <c r="B93" s="180"/>
      <c r="C93" s="180"/>
      <c r="D93" s="261"/>
      <c r="E93" s="245"/>
    </row>
    <row r="94" spans="1:5">
      <c r="A94" s="243"/>
      <c r="B94" s="180"/>
      <c r="C94" s="180"/>
      <c r="D94" s="261"/>
      <c r="E94" s="245"/>
    </row>
    <row r="95" spans="1:5">
      <c r="A95" s="243"/>
      <c r="B95" s="180"/>
      <c r="C95" s="180"/>
      <c r="D95" s="261"/>
      <c r="E95" s="245"/>
    </row>
    <row r="96" spans="1:5">
      <c r="A96" s="243"/>
      <c r="B96" s="180"/>
      <c r="C96" s="180"/>
      <c r="D96" s="261"/>
      <c r="E96" s="245"/>
    </row>
    <row r="97" spans="1:5">
      <c r="A97" s="243"/>
      <c r="B97" s="180"/>
      <c r="C97" s="180"/>
      <c r="D97" s="261"/>
      <c r="E97" s="245"/>
    </row>
    <row r="98" spans="1:5">
      <c r="A98" s="243"/>
      <c r="B98" s="180"/>
      <c r="C98" s="180"/>
      <c r="D98" s="261"/>
      <c r="E98" s="245"/>
    </row>
    <row r="99" spans="1:5">
      <c r="A99" s="243"/>
      <c r="B99" s="180"/>
      <c r="C99" s="180"/>
      <c r="D99" s="261"/>
      <c r="E99" s="245"/>
    </row>
    <row r="100" spans="1:5">
      <c r="A100" s="243"/>
      <c r="B100" s="180"/>
      <c r="C100" s="180"/>
      <c r="D100" s="261"/>
      <c r="E100" s="245"/>
    </row>
    <row r="101" spans="1:5">
      <c r="A101" s="243"/>
      <c r="B101" s="180"/>
      <c r="C101" s="180"/>
      <c r="D101" s="261"/>
      <c r="E101" s="245"/>
    </row>
    <row r="102" spans="1:5">
      <c r="A102" s="243"/>
      <c r="B102" s="180"/>
      <c r="C102" s="180"/>
      <c r="D102" s="261"/>
      <c r="E102" s="245"/>
    </row>
    <row r="103" spans="1:5">
      <c r="A103" s="243"/>
      <c r="B103" s="180"/>
      <c r="C103" s="180"/>
      <c r="D103" s="261"/>
      <c r="E103" s="245"/>
    </row>
    <row r="104" spans="1:5">
      <c r="A104" s="243"/>
      <c r="B104" s="180"/>
      <c r="C104" s="180"/>
      <c r="D104" s="261"/>
      <c r="E104" s="245"/>
    </row>
    <row r="105" spans="1:5">
      <c r="A105" s="243"/>
      <c r="B105" s="180"/>
      <c r="C105" s="180"/>
      <c r="D105" s="261"/>
      <c r="E105" s="245"/>
    </row>
    <row r="106" spans="1:5">
      <c r="A106" s="243"/>
      <c r="B106" s="180"/>
      <c r="C106" s="180"/>
      <c r="D106" s="261"/>
      <c r="E106" s="245"/>
    </row>
    <row r="107" spans="1:5">
      <c r="A107" s="243"/>
      <c r="B107" s="180"/>
      <c r="C107" s="180"/>
      <c r="D107" s="261"/>
      <c r="E107" s="245"/>
    </row>
    <row r="108" spans="1:5">
      <c r="A108" s="243"/>
      <c r="B108" s="180"/>
      <c r="C108" s="180"/>
      <c r="D108" s="261"/>
      <c r="E108" s="245"/>
    </row>
    <row r="109" spans="1:5">
      <c r="A109" s="243"/>
      <c r="B109" s="180"/>
      <c r="C109" s="180"/>
      <c r="D109" s="261"/>
      <c r="E109" s="245"/>
    </row>
    <row r="110" spans="1:5">
      <c r="A110" s="243"/>
      <c r="B110" s="180"/>
      <c r="C110" s="180"/>
      <c r="D110" s="261"/>
      <c r="E110" s="245"/>
    </row>
    <row r="111" spans="1:5">
      <c r="A111" s="243"/>
      <c r="B111" s="180"/>
      <c r="C111" s="180"/>
      <c r="D111" s="261"/>
      <c r="E111" s="245"/>
    </row>
    <row r="112" spans="1:5">
      <c r="A112" s="243"/>
      <c r="B112" s="180"/>
      <c r="C112" s="180"/>
      <c r="D112" s="261"/>
      <c r="E112" s="245"/>
    </row>
    <row r="113" spans="1:5">
      <c r="A113" s="243"/>
      <c r="B113" s="180"/>
      <c r="C113" s="180"/>
      <c r="D113" s="261"/>
      <c r="E113" s="245"/>
    </row>
    <row r="114" spans="1:5">
      <c r="A114" s="243"/>
      <c r="B114" s="180"/>
      <c r="C114" s="180"/>
      <c r="D114" s="261"/>
      <c r="E114" s="245"/>
    </row>
    <row r="115" spans="1:5">
      <c r="A115" s="243"/>
      <c r="B115" s="180"/>
      <c r="C115" s="180"/>
      <c r="D115" s="261"/>
      <c r="E115" s="245"/>
    </row>
    <row r="116" spans="1:5">
      <c r="A116" s="243"/>
      <c r="B116" s="180"/>
      <c r="C116" s="180"/>
      <c r="D116" s="261"/>
      <c r="E116" s="245"/>
    </row>
    <row r="117" spans="1:5">
      <c r="A117" s="243"/>
      <c r="B117" s="180"/>
      <c r="C117" s="180"/>
      <c r="D117" s="261"/>
      <c r="E117" s="245"/>
    </row>
    <row r="118" spans="1:5">
      <c r="A118" s="243"/>
      <c r="B118" s="180"/>
      <c r="C118" s="180"/>
      <c r="D118" s="261"/>
      <c r="E118" s="245"/>
    </row>
    <row r="119" spans="1:5">
      <c r="A119" s="243"/>
      <c r="B119" s="180"/>
      <c r="C119" s="180"/>
      <c r="D119" s="261"/>
      <c r="E119" s="245"/>
    </row>
    <row r="120" spans="1:5">
      <c r="A120" s="243"/>
      <c r="B120" s="180"/>
      <c r="C120" s="180"/>
      <c r="D120" s="261"/>
      <c r="E120" s="245"/>
    </row>
    <row r="121" spans="1:5">
      <c r="A121" s="243"/>
      <c r="B121" s="180"/>
      <c r="C121" s="180"/>
      <c r="D121" s="261"/>
      <c r="E121" s="245"/>
    </row>
    <row r="122" spans="1:5">
      <c r="A122" s="243"/>
      <c r="B122" s="180"/>
      <c r="C122" s="180"/>
      <c r="D122" s="261"/>
      <c r="E122" s="245"/>
    </row>
    <row r="123" spans="1:5">
      <c r="A123" s="243"/>
      <c r="B123" s="180"/>
      <c r="C123" s="180"/>
      <c r="D123" s="261"/>
      <c r="E123" s="245"/>
    </row>
    <row r="124" spans="1:5">
      <c r="A124" s="243"/>
      <c r="B124" s="180"/>
      <c r="C124" s="180"/>
      <c r="D124" s="261"/>
      <c r="E124" s="245"/>
    </row>
    <row r="125" spans="1:5">
      <c r="A125" s="243"/>
      <c r="B125" s="180"/>
      <c r="C125" s="180"/>
      <c r="D125" s="261"/>
      <c r="E125" s="245"/>
    </row>
    <row r="126" spans="1:5">
      <c r="A126" s="243"/>
      <c r="B126" s="180"/>
      <c r="C126" s="180"/>
      <c r="D126" s="261"/>
      <c r="E126" s="245"/>
    </row>
  </sheetData>
  <mergeCells count="3">
    <mergeCell ref="F1:G1"/>
    <mergeCell ref="H1:I1"/>
    <mergeCell ref="J1:K1"/>
  </mergeCells>
  <pageMargins left="0.17" right="0.16" top="0.41" bottom="0.49" header="0.3" footer="0.3"/>
  <pageSetup scale="70" orientation="landscape" r:id="rId1"/>
  <rowBreaks count="1" manualBreakCount="1">
    <brk id="45"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9" tint="-0.249977111117893"/>
  </sheetPr>
  <dimension ref="A1:H75"/>
  <sheetViews>
    <sheetView workbookViewId="0">
      <selection activeCell="A61" sqref="A61:XFD61"/>
    </sheetView>
  </sheetViews>
  <sheetFormatPr baseColWidth="10" defaultColWidth="9.1640625" defaultRowHeight="16" outlineLevelRow="1"/>
  <cols>
    <col min="1" max="1" width="28.1640625" style="26" customWidth="1"/>
    <col min="2" max="2" width="11.83203125" style="26" customWidth="1"/>
    <col min="3" max="3" width="9.33203125" style="52" customWidth="1"/>
    <col min="4" max="4" width="11.5" style="26" customWidth="1"/>
    <col min="5" max="5" width="10" style="52" customWidth="1"/>
    <col min="6" max="6" width="16.83203125" style="26" customWidth="1"/>
    <col min="7" max="7" width="12.83203125" style="52" customWidth="1"/>
    <col min="8" max="8" width="4.6640625" style="26" customWidth="1"/>
    <col min="9" max="9" width="19.5" style="26" customWidth="1"/>
    <col min="10" max="11" width="8.6640625" style="26" customWidth="1"/>
    <col min="12" max="12" width="10.33203125" style="26" customWidth="1"/>
    <col min="13" max="13" width="9.1640625" style="26"/>
    <col min="14" max="14" width="13.6640625" style="26" customWidth="1"/>
    <col min="15" max="16384" width="9.1640625" style="26"/>
  </cols>
  <sheetData>
    <row r="1" spans="1:7" ht="19">
      <c r="A1" s="51" t="s">
        <v>268</v>
      </c>
    </row>
    <row r="2" spans="1:7" ht="6" customHeight="1" thickBot="1"/>
    <row r="3" spans="1:7" s="50" customFormat="1" ht="19">
      <c r="A3" s="750" t="s">
        <v>146</v>
      </c>
      <c r="B3" s="751"/>
      <c r="C3" s="751"/>
      <c r="D3" s="751"/>
      <c r="E3" s="751"/>
      <c r="F3" s="751"/>
      <c r="G3" s="752"/>
    </row>
    <row r="4" spans="1:7" s="30" customFormat="1" ht="34">
      <c r="A4" s="27" t="s">
        <v>36</v>
      </c>
      <c r="B4" s="28" t="s">
        <v>143</v>
      </c>
      <c r="C4" s="53" t="s">
        <v>33</v>
      </c>
      <c r="D4" s="29" t="s">
        <v>32</v>
      </c>
      <c r="E4" s="53" t="s">
        <v>33</v>
      </c>
      <c r="F4" s="29" t="s">
        <v>233</v>
      </c>
      <c r="G4" s="56" t="s">
        <v>33</v>
      </c>
    </row>
    <row r="5" spans="1:7" s="30" customFormat="1" ht="17">
      <c r="A5" s="31" t="s">
        <v>138</v>
      </c>
      <c r="B5" s="32">
        <f>SUMIF(Detail!V$60:V$82,Detail!V4,Detail!G$60:G$82)</f>
        <v>2</v>
      </c>
      <c r="C5" s="43">
        <f>B5/B$9</f>
        <v>0.11764705882352941</v>
      </c>
      <c r="D5" s="33">
        <f>SUMIF(Detail!V$60:V$82,Detail!V4,Detail!T$60:T$82)</f>
        <v>220</v>
      </c>
      <c r="E5" s="43">
        <f>D5/D$9</f>
        <v>0.19163763066202091</v>
      </c>
      <c r="F5" s="130">
        <f>SUMIF(Detail!V$60:V$82,Detail!V4,Detail!AB$60:AB$82)</f>
        <v>44100000</v>
      </c>
      <c r="G5" s="44">
        <f>F5/F$9</f>
        <v>0.17843623581113288</v>
      </c>
    </row>
    <row r="6" spans="1:7" s="30" customFormat="1" ht="17">
      <c r="A6" s="31" t="s">
        <v>136</v>
      </c>
      <c r="B6" s="32">
        <f>SUMIF(Detail!V$60:V$82,Detail!V2,Detail!G$60:G$82)</f>
        <v>4</v>
      </c>
      <c r="C6" s="43">
        <f>B6/B$9</f>
        <v>0.23529411764705882</v>
      </c>
      <c r="D6" s="33">
        <f>SUMIF(Detail!V$60:V$82,Detail!V3,Detail!T$60:T$82)</f>
        <v>445</v>
      </c>
      <c r="E6" s="43">
        <f>D6/D$9</f>
        <v>0.3876306620209059</v>
      </c>
      <c r="F6" s="130">
        <f>SUMIF(Detail!V$60:V$82,Detail!V3,Detail!AB$60:AB$82)</f>
        <v>112522110</v>
      </c>
      <c r="G6" s="44">
        <f>F6/F$9</f>
        <v>0.45528393999832734</v>
      </c>
    </row>
    <row r="7" spans="1:7" s="30" customFormat="1" ht="17">
      <c r="A7" s="31" t="s">
        <v>137</v>
      </c>
      <c r="B7" s="32">
        <f>SUMIF(Detail!V$60:V$82,Detail!V3,Detail!G$60:G$82)</f>
        <v>7</v>
      </c>
      <c r="C7" s="43">
        <f>B7/B$9</f>
        <v>0.41176470588235292</v>
      </c>
      <c r="D7" s="33">
        <f>SUMIF(Detail!V$60:V$82,Detail!V2,Detail!T$60:T$82)</f>
        <v>375</v>
      </c>
      <c r="E7" s="43">
        <f>D7/D$9</f>
        <v>0.32665505226480834</v>
      </c>
      <c r="F7" s="130">
        <f>SUMIF(Detail!V$60:V$82,Detail!V2,Detail!AB$60:AB$82)</f>
        <v>68925000</v>
      </c>
      <c r="G7" s="44">
        <f>F7/F$9</f>
        <v>0.27888248420141348</v>
      </c>
    </row>
    <row r="8" spans="1:7" s="30" customFormat="1" ht="18" thickBot="1">
      <c r="A8" s="31" t="s">
        <v>263</v>
      </c>
      <c r="B8" s="32">
        <f>SUMIF(Detail!V$60:V$82,Detail!V5,Detail!G$60:G$82)</f>
        <v>4</v>
      </c>
      <c r="C8" s="43">
        <f>B8/B$9</f>
        <v>0.23529411764705882</v>
      </c>
      <c r="D8" s="33">
        <f>SUMIF(Detail!V$60:V$82,Detail!V5,Detail!T$60:T$82)</f>
        <v>108</v>
      </c>
      <c r="E8" s="43">
        <f>D8/D$9</f>
        <v>9.4076655052264813E-2</v>
      </c>
      <c r="F8" s="130">
        <f>SUMIF(Detail!V$60:V$82,Detail!V5,Detail!AB$60:AB$82)</f>
        <v>21600000</v>
      </c>
      <c r="G8" s="44">
        <f>F8/F$9</f>
        <v>8.7397339989126313E-2</v>
      </c>
    </row>
    <row r="9" spans="1:7" s="30" customFormat="1" ht="20.25" customHeight="1" thickBot="1">
      <c r="A9" s="35" t="s">
        <v>12</v>
      </c>
      <c r="B9" s="36">
        <f t="shared" ref="B9:G9" si="0">SUM(B5:B8)</f>
        <v>17</v>
      </c>
      <c r="C9" s="54">
        <f t="shared" si="0"/>
        <v>1</v>
      </c>
      <c r="D9" s="37">
        <f t="shared" si="0"/>
        <v>1148</v>
      </c>
      <c r="E9" s="54">
        <f t="shared" si="0"/>
        <v>0.99999999999999989</v>
      </c>
      <c r="F9" s="131">
        <f t="shared" si="0"/>
        <v>247147110</v>
      </c>
      <c r="G9" s="57">
        <f t="shared" si="0"/>
        <v>1</v>
      </c>
    </row>
    <row r="10" spans="1:7" s="30" customFormat="1">
      <c r="C10" s="45"/>
      <c r="E10" s="45"/>
      <c r="G10" s="45"/>
    </row>
    <row r="11" spans="1:7" s="30" customFormat="1">
      <c r="C11" s="45"/>
      <c r="E11" s="45"/>
      <c r="G11" s="45"/>
    </row>
    <row r="12" spans="1:7" s="30" customFormat="1">
      <c r="C12" s="45"/>
      <c r="E12" s="45"/>
      <c r="G12" s="45"/>
    </row>
    <row r="13" spans="1:7" s="30" customFormat="1">
      <c r="C13" s="45"/>
      <c r="E13" s="45"/>
      <c r="G13" s="45"/>
    </row>
    <row r="14" spans="1:7" s="30" customFormat="1" ht="13.5" customHeight="1" thickBot="1">
      <c r="C14" s="45"/>
      <c r="E14" s="45"/>
      <c r="G14" s="45"/>
    </row>
    <row r="15" spans="1:7" s="59" customFormat="1" ht="19">
      <c r="A15" s="750" t="s">
        <v>147</v>
      </c>
      <c r="B15" s="751"/>
      <c r="C15" s="751"/>
      <c r="D15" s="751"/>
      <c r="E15" s="751"/>
      <c r="F15" s="751"/>
      <c r="G15" s="752"/>
    </row>
    <row r="16" spans="1:7" s="30" customFormat="1" ht="34">
      <c r="A16" s="39" t="s">
        <v>37</v>
      </c>
      <c r="B16" s="28" t="s">
        <v>143</v>
      </c>
      <c r="C16" s="53" t="s">
        <v>33</v>
      </c>
      <c r="D16" s="29" t="s">
        <v>32</v>
      </c>
      <c r="E16" s="53" t="s">
        <v>33</v>
      </c>
      <c r="F16" s="29" t="s">
        <v>233</v>
      </c>
      <c r="G16" s="56" t="s">
        <v>33</v>
      </c>
    </row>
    <row r="17" spans="1:7" s="30" customFormat="1" ht="17">
      <c r="A17" s="40" t="s">
        <v>8</v>
      </c>
      <c r="B17" s="32">
        <f>+COUNTIF(Detail!C$60:C$82,"chicago")</f>
        <v>10</v>
      </c>
      <c r="C17" s="43">
        <f>B17/B28</f>
        <v>0.58823529411764708</v>
      </c>
      <c r="D17" s="41">
        <f>SUMIF(Detail!C$60:C$82,"chicago",Detail!T$60:T$82)</f>
        <v>623</v>
      </c>
      <c r="E17" s="43">
        <f t="shared" ref="E17:E22" si="1">+D17/D$28</f>
        <v>0.54268292682926833</v>
      </c>
      <c r="F17" s="130">
        <f>SUMIF(Detail!C$60:C$82,"chicago",Detail!AB$60:AB$82)</f>
        <v>156425000</v>
      </c>
      <c r="G17" s="44">
        <f t="shared" ref="G17:G22" si="2">+F17/F$28</f>
        <v>0.63292263462032794</v>
      </c>
    </row>
    <row r="18" spans="1:7" s="30" customFormat="1" ht="17">
      <c r="A18" s="40" t="s">
        <v>20</v>
      </c>
      <c r="B18" s="32">
        <f>+COUNTIF(Detail!C$60:C$82,"milwaukee")</f>
        <v>0</v>
      </c>
      <c r="C18" s="43">
        <f>+B18/B$28</f>
        <v>0</v>
      </c>
      <c r="D18" s="41">
        <f>SUMIF(Detail!C$60:C$82,"milwaukee",Detail!T$60:T$82)</f>
        <v>0</v>
      </c>
      <c r="E18" s="43">
        <f t="shared" si="1"/>
        <v>0</v>
      </c>
      <c r="F18" s="130">
        <f>SUMIF(Detail!C$60:C$82,"milwaukee",Detail!AB$60:AB$82)</f>
        <v>0</v>
      </c>
      <c r="G18" s="44">
        <f t="shared" si="2"/>
        <v>0</v>
      </c>
    </row>
    <row r="19" spans="1:7" s="30" customFormat="1" ht="17" hidden="1" outlineLevel="1">
      <c r="A19" s="40" t="s">
        <v>40</v>
      </c>
      <c r="B19" s="32">
        <f>+COUNTIF(Detail!C$60:C$82,"countryside")</f>
        <v>0</v>
      </c>
      <c r="C19" s="43">
        <f>+B19/B$28</f>
        <v>0</v>
      </c>
      <c r="D19" s="41">
        <f>SUMIF(Detail!C$60:C$82,"countryside",Detail!T$60:T$82)</f>
        <v>0</v>
      </c>
      <c r="E19" s="43">
        <f t="shared" si="1"/>
        <v>0</v>
      </c>
      <c r="F19" s="130">
        <f>SUMIF(Detail!C$60:C$82,"countryside",Detail!AB$60:AB$82)</f>
        <v>0</v>
      </c>
      <c r="G19" s="44">
        <f t="shared" si="2"/>
        <v>0</v>
      </c>
    </row>
    <row r="20" spans="1:7" s="30" customFormat="1" ht="17" hidden="1" outlineLevel="1">
      <c r="A20" s="40" t="s">
        <v>34</v>
      </c>
      <c r="B20" s="32">
        <f>+COUNTIF(Detail!C$60:C$82,"Aurora")</f>
        <v>4</v>
      </c>
      <c r="C20" s="43">
        <f>+B20/B$28</f>
        <v>0.23529411764705882</v>
      </c>
      <c r="D20" s="41">
        <f>SUMIF(Detail!C$60:C$82,"aurora",Detail!T$60:T$82)</f>
        <v>355</v>
      </c>
      <c r="E20" s="43">
        <f t="shared" si="1"/>
        <v>0.30923344947735193</v>
      </c>
      <c r="F20" s="130">
        <f>SUMIF(Detail!C$60:C$82,"aurora",Detail!AB$60:AB$82)</f>
        <v>83712560</v>
      </c>
      <c r="G20" s="44">
        <f t="shared" si="2"/>
        <v>0.33871551239259889</v>
      </c>
    </row>
    <row r="21" spans="1:7" s="30" customFormat="1" ht="17" hidden="1" outlineLevel="1">
      <c r="A21" s="40" t="s">
        <v>4</v>
      </c>
      <c r="B21" s="32">
        <f>+COUNTIF(Detail!C$60:C$82,"grayslake")</f>
        <v>0</v>
      </c>
      <c r="C21" s="43">
        <f>+B21/B$28</f>
        <v>0</v>
      </c>
      <c r="D21" s="41">
        <f>SUMIF(Detail!C$60:C$82,"grayslake",Detail!T$60:T$82)</f>
        <v>0</v>
      </c>
      <c r="E21" s="43">
        <f t="shared" si="1"/>
        <v>0</v>
      </c>
      <c r="F21" s="130">
        <f>SUMIF(Detail!C$60:C$82,"grayslake",Detail!AB$60:AB$82)</f>
        <v>0</v>
      </c>
      <c r="G21" s="44">
        <f t="shared" si="2"/>
        <v>0</v>
      </c>
    </row>
    <row r="22" spans="1:7" s="30" customFormat="1" ht="15" hidden="1" customHeight="1" outlineLevel="1">
      <c r="A22" s="40" t="s">
        <v>106</v>
      </c>
      <c r="B22" s="32">
        <f>+COUNTIF(Detail!C$60:C$82,"kankakee")</f>
        <v>0</v>
      </c>
      <c r="C22" s="43">
        <f>+B22/B$28</f>
        <v>0</v>
      </c>
      <c r="D22" s="41">
        <f>SUMIF(Detail!C$60:C$82,"kankakee",Detail!T$60:T$82)</f>
        <v>0</v>
      </c>
      <c r="E22" s="43">
        <f t="shared" si="1"/>
        <v>0</v>
      </c>
      <c r="F22" s="130">
        <f>SUMIF(Detail!C$60:C$82,"kankakee",Detail!AB$60:AB$82)</f>
        <v>0</v>
      </c>
      <c r="G22" s="44">
        <f t="shared" si="2"/>
        <v>0</v>
      </c>
    </row>
    <row r="23" spans="1:7" s="30" customFormat="1" ht="17" collapsed="1">
      <c r="A23" s="40" t="s">
        <v>264</v>
      </c>
      <c r="B23" s="32">
        <f>SUM(B19:B22)</f>
        <v>4</v>
      </c>
      <c r="C23" s="43">
        <f>SUM(C19:C22)</f>
        <v>0.23529411764705882</v>
      </c>
      <c r="D23" s="41">
        <f>SUM(D19:D22)</f>
        <v>355</v>
      </c>
      <c r="E23" s="43">
        <f>SUM(E19:E22)</f>
        <v>0.30923344947735193</v>
      </c>
      <c r="F23" s="130">
        <f>SUM(F19:F22)</f>
        <v>83712560</v>
      </c>
      <c r="G23" s="44">
        <f>SUM(G20:G22)</f>
        <v>0.33871551239259889</v>
      </c>
    </row>
    <row r="24" spans="1:7" s="30" customFormat="1" ht="17" hidden="1" outlineLevel="1">
      <c r="A24" s="40" t="s">
        <v>5</v>
      </c>
      <c r="B24" s="32">
        <f>+COUNTIF(Detail!C$60:C$82,"danville")</f>
        <v>1</v>
      </c>
      <c r="C24" s="43">
        <f>+B24/B$28</f>
        <v>5.8823529411764705E-2</v>
      </c>
      <c r="D24" s="41">
        <f>SUMIF(Detail!C$60:C$82,"danville",Detail!T$60:T$82)</f>
        <v>50</v>
      </c>
      <c r="E24" s="43">
        <f>+D24/D$28</f>
        <v>4.3554006968641118E-2</v>
      </c>
      <c r="F24" s="130">
        <f>SUMIF(Detail!C$60:C$82,"danville",Detail!AB$60:AB$82)</f>
        <v>7009550</v>
      </c>
      <c r="G24" s="44">
        <f>+F24/F$28</f>
        <v>2.8361852987073166E-2</v>
      </c>
    </row>
    <row r="25" spans="1:7" s="30" customFormat="1" ht="17" hidden="1" outlineLevel="1">
      <c r="A25" s="40" t="s">
        <v>126</v>
      </c>
      <c r="B25" s="32">
        <f>+COUNTIF(Detail!C$60:C$82,"indianapolis")</f>
        <v>1</v>
      </c>
      <c r="C25" s="43">
        <f>+B25/B$28</f>
        <v>5.8823529411764705E-2</v>
      </c>
      <c r="D25" s="41">
        <f>SUMIF(Detail!C$60:C$82,"indianapolis",Detail!T$60:T$82)</f>
        <v>60</v>
      </c>
      <c r="E25" s="43">
        <f>+D25/D$28</f>
        <v>5.2264808362369339E-2</v>
      </c>
      <c r="F25" s="130">
        <f>SUMIF(Detail!C$60:C$82,"indianapolis",Detail!AB$60:AB$82)</f>
        <v>0</v>
      </c>
      <c r="G25" s="44">
        <f>+F25/F$28</f>
        <v>0</v>
      </c>
    </row>
    <row r="26" spans="1:7" s="30" customFormat="1" ht="17" hidden="1" outlineLevel="1">
      <c r="A26" s="40" t="s">
        <v>262</v>
      </c>
      <c r="B26" s="32">
        <f>+COUNTIF(Detail!C$60:C$82,"st louis")</f>
        <v>1</v>
      </c>
      <c r="C26" s="43">
        <f>+B26/B$28</f>
        <v>5.8823529411764705E-2</v>
      </c>
      <c r="D26" s="41">
        <f>SUMIF(Detail!C$60:C$82,"st louis",Detail!T$60:T$82)</f>
        <v>60</v>
      </c>
      <c r="E26" s="43">
        <f>+D26/D$28</f>
        <v>5.2264808362369339E-2</v>
      </c>
      <c r="F26" s="130">
        <f>SUMIF(Detail!C$60:C$82,"st louis",Detail!AB$60:AB$82)</f>
        <v>0</v>
      </c>
      <c r="G26" s="44">
        <f>+F26/F$28</f>
        <v>0</v>
      </c>
    </row>
    <row r="27" spans="1:7" s="30" customFormat="1" ht="18" collapsed="1" thickBot="1">
      <c r="A27" s="40" t="s">
        <v>265</v>
      </c>
      <c r="B27" s="32">
        <f t="shared" ref="B27:G27" si="3">SUM(B24:B26)</f>
        <v>3</v>
      </c>
      <c r="C27" s="198">
        <f t="shared" si="3"/>
        <v>0.1764705882352941</v>
      </c>
      <c r="D27" s="41">
        <f t="shared" si="3"/>
        <v>170</v>
      </c>
      <c r="E27" s="43">
        <f t="shared" si="3"/>
        <v>0.1480836236933798</v>
      </c>
      <c r="F27" s="130">
        <f t="shared" si="3"/>
        <v>7009550</v>
      </c>
      <c r="G27" s="44">
        <f t="shared" si="3"/>
        <v>2.8361852987073166E-2</v>
      </c>
    </row>
    <row r="28" spans="1:7" s="30" customFormat="1" ht="18" customHeight="1" thickBot="1">
      <c r="A28" s="35" t="s">
        <v>35</v>
      </c>
      <c r="B28" s="36">
        <f t="shared" ref="B28:G28" si="4">B17+B18+B23+B27</f>
        <v>17</v>
      </c>
      <c r="C28" s="54">
        <f t="shared" si="4"/>
        <v>1</v>
      </c>
      <c r="D28" s="37">
        <f t="shared" si="4"/>
        <v>1148</v>
      </c>
      <c r="E28" s="54">
        <f t="shared" si="4"/>
        <v>1</v>
      </c>
      <c r="F28" s="131">
        <f t="shared" si="4"/>
        <v>247147110</v>
      </c>
      <c r="G28" s="57">
        <f t="shared" si="4"/>
        <v>1</v>
      </c>
    </row>
    <row r="29" spans="1:7" s="30" customFormat="1">
      <c r="C29" s="45"/>
      <c r="E29" s="45"/>
      <c r="G29" s="45"/>
    </row>
    <row r="30" spans="1:7" s="30" customFormat="1">
      <c r="C30" s="45"/>
      <c r="E30" s="45"/>
      <c r="G30" s="45"/>
    </row>
    <row r="31" spans="1:7" s="30" customFormat="1">
      <c r="C31" s="45"/>
      <c r="E31" s="45"/>
      <c r="G31" s="45"/>
    </row>
    <row r="32" spans="1:7" s="30" customFormat="1">
      <c r="C32" s="45"/>
      <c r="E32" s="45"/>
      <c r="G32" s="45"/>
    </row>
    <row r="33" spans="1:8" s="30" customFormat="1" ht="17" thickBot="1">
      <c r="C33" s="45"/>
      <c r="E33" s="45"/>
      <c r="G33" s="45"/>
    </row>
    <row r="34" spans="1:8" s="59" customFormat="1" ht="19">
      <c r="A34" s="750" t="s">
        <v>148</v>
      </c>
      <c r="B34" s="751"/>
      <c r="C34" s="751"/>
      <c r="D34" s="751"/>
      <c r="E34" s="751"/>
      <c r="F34" s="751"/>
      <c r="G34" s="752"/>
    </row>
    <row r="35" spans="1:8" s="30" customFormat="1" ht="34">
      <c r="A35" s="42"/>
      <c r="B35" s="28" t="s">
        <v>143</v>
      </c>
      <c r="C35" s="53" t="s">
        <v>33</v>
      </c>
      <c r="D35" s="29" t="s">
        <v>32</v>
      </c>
      <c r="E35" s="53" t="s">
        <v>33</v>
      </c>
      <c r="F35" s="29" t="s">
        <v>233</v>
      </c>
      <c r="G35" s="56" t="s">
        <v>33</v>
      </c>
    </row>
    <row r="36" spans="1:8" s="30" customFormat="1" ht="17">
      <c r="A36" s="40" t="s">
        <v>111</v>
      </c>
      <c r="B36" s="32">
        <f>SUMIF(Detail!D$60:D$82,Detail!D4,Detail!G$60:G$82)</f>
        <v>15</v>
      </c>
      <c r="C36" s="43">
        <f>B36/B$41</f>
        <v>0.88235294117647056</v>
      </c>
      <c r="D36" s="33">
        <f>SUMIF(Detail!D$60:D$82,Detail!D4,Detail!T$60:T$82)</f>
        <v>893</v>
      </c>
      <c r="E36" s="43">
        <f>D36/D$41</f>
        <v>0.77787456445993031</v>
      </c>
      <c r="F36" s="130">
        <f>SUMIF(Detail!D$60:D$82,Detail!D4,Detail!AB$60:AB$82)</f>
        <v>193522110</v>
      </c>
      <c r="G36" s="44">
        <f>F36/F$41</f>
        <v>0.783023964957551</v>
      </c>
    </row>
    <row r="37" spans="1:8" s="30" customFormat="1" ht="17">
      <c r="A37" s="40" t="s">
        <v>247</v>
      </c>
      <c r="B37" s="32">
        <f>SUMIF(Detail!D$60:D$82,Detail!D2,Detail!G$60:G$82)</f>
        <v>2</v>
      </c>
      <c r="C37" s="43">
        <f>B37/B$41</f>
        <v>0.11764705882352941</v>
      </c>
      <c r="D37" s="33">
        <f>SUMIF(Detail!D$60:D$82,Detail!D2,Detail!T$60:T$82)</f>
        <v>255</v>
      </c>
      <c r="E37" s="43">
        <f>D37/D$41</f>
        <v>0.22212543554006969</v>
      </c>
      <c r="F37" s="130">
        <f>SUMIF(Detail!D$60:D$82,Detail!D2,Detail!AB$60:AB$82)</f>
        <v>53625000</v>
      </c>
      <c r="G37" s="44">
        <f>F37/F$41</f>
        <v>0.216976035042449</v>
      </c>
      <c r="H37" s="45"/>
    </row>
    <row r="38" spans="1:8" s="30" customFormat="1" ht="17">
      <c r="A38" s="40" t="s">
        <v>248</v>
      </c>
      <c r="B38" s="32">
        <f>SUMIF(Detail!D$60:D$82,Detail!D3,Detail!G$60:G$82)</f>
        <v>0</v>
      </c>
      <c r="C38" s="43">
        <f>B38/B$41</f>
        <v>0</v>
      </c>
      <c r="D38" s="33">
        <f>SUMIF(Detail!D$60:D$82,Detail!D3,Detail!T$60:T$82)</f>
        <v>0</v>
      </c>
      <c r="E38" s="43">
        <f>D38/D$41</f>
        <v>0</v>
      </c>
      <c r="F38" s="130">
        <f>SUMIF(Detail!D$60:D$82,Detail!D3,Detail!AB$60:AB$82)</f>
        <v>0</v>
      </c>
      <c r="G38" s="44">
        <f>F38/F$41</f>
        <v>0</v>
      </c>
    </row>
    <row r="39" spans="1:8" s="30" customFormat="1" ht="18" thickBot="1">
      <c r="A39" s="40" t="s">
        <v>249</v>
      </c>
      <c r="B39" s="32">
        <f>SUMIF(Detail!D$60:D$82,Detail!D5,Detail!G$60:G$82)</f>
        <v>0</v>
      </c>
      <c r="C39" s="43">
        <f>B39/B$41</f>
        <v>0</v>
      </c>
      <c r="D39" s="33">
        <f>SUMIF(Detail!D$60:D$82,Detail!D5,Detail!T$60:T$82)</f>
        <v>0</v>
      </c>
      <c r="E39" s="43">
        <f>D39/D$41</f>
        <v>0</v>
      </c>
      <c r="F39" s="130">
        <f>SUMIF(Detail!D$60:D$82,Detail!D5,Detail!AB$60:AB$82)</f>
        <v>0</v>
      </c>
      <c r="G39" s="44">
        <f>F39/F$41</f>
        <v>0</v>
      </c>
    </row>
    <row r="40" spans="1:8" s="30" customFormat="1" ht="18" hidden="1" thickBot="1">
      <c r="A40" s="40" t="s">
        <v>152</v>
      </c>
      <c r="B40" s="32">
        <f>SUMIF(Detail!D$38:D$56,Detail!D6,Detail!G$38:G$56)</f>
        <v>0</v>
      </c>
      <c r="C40" s="43">
        <f>B40/B$41</f>
        <v>0</v>
      </c>
      <c r="D40" s="33">
        <f>SUMIF(Detail!D$38:D$56,Detail!D6,Detail!T$38:T$56)</f>
        <v>0</v>
      </c>
      <c r="E40" s="43">
        <f>D40/D$41</f>
        <v>0</v>
      </c>
      <c r="F40" s="130">
        <f>SUMIF(Detail!D$38:D$56,Detail!D6,Detail!AB$38:AB$56)</f>
        <v>0</v>
      </c>
      <c r="G40" s="44">
        <f>F40/F$41</f>
        <v>0</v>
      </c>
    </row>
    <row r="41" spans="1:8" s="30" customFormat="1" ht="19.5" customHeight="1" thickBot="1">
      <c r="A41" s="35" t="s">
        <v>12</v>
      </c>
      <c r="B41" s="36">
        <f t="shared" ref="B41:G41" si="5">SUM(B36:B39)</f>
        <v>17</v>
      </c>
      <c r="C41" s="54">
        <f t="shared" si="5"/>
        <v>1</v>
      </c>
      <c r="D41" s="37">
        <f t="shared" si="5"/>
        <v>1148</v>
      </c>
      <c r="E41" s="54">
        <f t="shared" si="5"/>
        <v>1</v>
      </c>
      <c r="F41" s="131">
        <f t="shared" si="5"/>
        <v>247147110</v>
      </c>
      <c r="G41" s="57">
        <f t="shared" si="5"/>
        <v>1</v>
      </c>
    </row>
    <row r="42" spans="1:8" s="30" customFormat="1">
      <c r="C42" s="45"/>
      <c r="E42" s="45"/>
      <c r="G42" s="45"/>
    </row>
    <row r="43" spans="1:8" s="30" customFormat="1">
      <c r="C43" s="45"/>
      <c r="E43" s="45"/>
      <c r="G43" s="45"/>
    </row>
    <row r="44" spans="1:8" s="30" customFormat="1">
      <c r="C44" s="45"/>
      <c r="E44" s="45"/>
      <c r="G44" s="45"/>
    </row>
    <row r="45" spans="1:8" s="30" customFormat="1">
      <c r="C45" s="45"/>
      <c r="E45" s="45"/>
      <c r="G45" s="45"/>
    </row>
    <row r="46" spans="1:8" s="30" customFormat="1">
      <c r="C46" s="45"/>
      <c r="E46" s="45"/>
      <c r="G46" s="45"/>
    </row>
    <row r="47" spans="1:8" s="30" customFormat="1" ht="17" thickBot="1">
      <c r="C47" s="45"/>
      <c r="E47" s="45"/>
      <c r="G47" s="45"/>
    </row>
    <row r="48" spans="1:8" s="59" customFormat="1" ht="20" thickBot="1">
      <c r="A48" s="750" t="s">
        <v>149</v>
      </c>
      <c r="B48" s="751"/>
      <c r="C48" s="751"/>
      <c r="D48" s="751"/>
      <c r="E48" s="751"/>
      <c r="F48" s="751"/>
      <c r="G48" s="752"/>
    </row>
    <row r="49" spans="1:8" s="30" customFormat="1" ht="34">
      <c r="A49" s="46" t="s">
        <v>45</v>
      </c>
      <c r="B49" s="47" t="s">
        <v>143</v>
      </c>
      <c r="C49" s="55" t="s">
        <v>33</v>
      </c>
      <c r="D49" s="48" t="s">
        <v>42</v>
      </c>
      <c r="E49" s="55" t="s">
        <v>33</v>
      </c>
      <c r="F49" s="29" t="s">
        <v>233</v>
      </c>
      <c r="G49" s="58" t="s">
        <v>33</v>
      </c>
    </row>
    <row r="50" spans="1:8" s="30" customFormat="1" ht="17">
      <c r="A50" s="40" t="s">
        <v>115</v>
      </c>
      <c r="B50" s="32">
        <f>SUMIF(Detail!F$60:F$82,Detail!F7,Detail!G$60:G$82)</f>
        <v>3</v>
      </c>
      <c r="C50" s="43">
        <f>B50/$B$56</f>
        <v>0.17647058823529413</v>
      </c>
      <c r="D50" s="33">
        <f>SUMIF(Detail!F$60:F$82,Detail!F7,Detail!T$60:T$82)</f>
        <v>280</v>
      </c>
      <c r="E50" s="43">
        <f t="shared" ref="E50:E55" si="6">D50/D$56</f>
        <v>0.24390243902439024</v>
      </c>
      <c r="F50" s="130">
        <f>SUMIF(Detail!F$60:F$82,Detail!F7,Detail!AB$60:AB$82)</f>
        <v>28800000</v>
      </c>
      <c r="G50" s="44">
        <f t="shared" ref="G50:G55" si="7">F50/F$56</f>
        <v>0.11652978665216841</v>
      </c>
    </row>
    <row r="51" spans="1:8" s="30" customFormat="1" ht="17">
      <c r="A51" s="40" t="s">
        <v>54</v>
      </c>
      <c r="B51" s="32">
        <f>SUMIF(Detail!F$60:F$82,Detail!F4,Detail!G$60:G$82)</f>
        <v>14</v>
      </c>
      <c r="C51" s="43">
        <f>B51/$B$56</f>
        <v>0.82352941176470584</v>
      </c>
      <c r="D51" s="33">
        <f>SUMIF(Detail!F$60:F$82,Detail!F4,Detail!T$60:T$82)</f>
        <v>868</v>
      </c>
      <c r="E51" s="43">
        <f t="shared" si="6"/>
        <v>0.75609756097560976</v>
      </c>
      <c r="F51" s="130">
        <f>SUMIF(Detail!F$60:F$82,Detail!F4,Detail!AB$60:AB$82)</f>
        <v>218347110</v>
      </c>
      <c r="G51" s="44">
        <f t="shared" si="7"/>
        <v>0.8834702133478316</v>
      </c>
    </row>
    <row r="52" spans="1:8" s="30" customFormat="1" ht="17">
      <c r="A52" s="40" t="s">
        <v>112</v>
      </c>
      <c r="B52" s="32">
        <f>SUMIF(Detail!F$60:F$82,Detail!F3,Detail!G$60:G$82)</f>
        <v>0</v>
      </c>
      <c r="C52" s="43">
        <f t="shared" ref="C52:C55" si="8">B52/$B$56</f>
        <v>0</v>
      </c>
      <c r="D52" s="33">
        <f>SUMIF(Detail!F$60:F$82,Detail!F3,Detail!T$60:T$82)</f>
        <v>0</v>
      </c>
      <c r="E52" s="43">
        <f t="shared" si="6"/>
        <v>0</v>
      </c>
      <c r="F52" s="130">
        <f>SUMIF(Detail!F$60:F$82,Detail!F3,Detail!AB$60:AB$82)</f>
        <v>0</v>
      </c>
      <c r="G52" s="44">
        <f t="shared" si="7"/>
        <v>0</v>
      </c>
    </row>
    <row r="53" spans="1:8" s="30" customFormat="1" ht="17">
      <c r="A53" s="40" t="s">
        <v>116</v>
      </c>
      <c r="B53" s="32">
        <f>SUMIF(Detail!F$60:F$82,Detail!F2,Detail!G$60:G$82)</f>
        <v>0</v>
      </c>
      <c r="C53" s="43">
        <f t="shared" si="8"/>
        <v>0</v>
      </c>
      <c r="D53" s="33">
        <f>SUMIF(Detail!F$60:F$82,Detail!F2,Detail!T$60:T$82)</f>
        <v>0</v>
      </c>
      <c r="E53" s="43">
        <f t="shared" si="6"/>
        <v>0</v>
      </c>
      <c r="F53" s="130">
        <f>SUMIF(Detail!F$60:F$82,Detail!F2,Detail!AB$60:AB$82)</f>
        <v>0</v>
      </c>
      <c r="G53" s="44">
        <f t="shared" si="7"/>
        <v>0</v>
      </c>
      <c r="H53" s="45"/>
    </row>
    <row r="54" spans="1:8" s="30" customFormat="1" ht="17">
      <c r="A54" s="40" t="s">
        <v>229</v>
      </c>
      <c r="B54" s="32">
        <f>SUMIF(Detail!F$60:F$82,Detail!F5,Detail!G$60:G$82)</f>
        <v>0</v>
      </c>
      <c r="C54" s="43">
        <f t="shared" si="8"/>
        <v>0</v>
      </c>
      <c r="D54" s="33">
        <f>SUMIF(Detail!F$60:F$82,Detail!F5,Detail!T$60:T$82)</f>
        <v>0</v>
      </c>
      <c r="E54" s="43">
        <f t="shared" si="6"/>
        <v>0</v>
      </c>
      <c r="F54" s="130">
        <f>SUMIF(Detail!F$60:F$82,Detail!F5,Detail!AB$60:AB$82)</f>
        <v>0</v>
      </c>
      <c r="G54" s="44">
        <f t="shared" si="7"/>
        <v>0</v>
      </c>
    </row>
    <row r="55" spans="1:8" s="30" customFormat="1" ht="18" thickBot="1">
      <c r="A55" s="40" t="s">
        <v>230</v>
      </c>
      <c r="B55" s="32">
        <f>SUMIF(Detail!F$60:F$82,Detail!F6,Detail!G$60:G$82)</f>
        <v>0</v>
      </c>
      <c r="C55" s="43">
        <f t="shared" si="8"/>
        <v>0</v>
      </c>
      <c r="D55" s="33">
        <f>SUMIF(Detail!F$60:F$82,Detail!F6,Detail!T$60:T$82)</f>
        <v>0</v>
      </c>
      <c r="E55" s="43">
        <f t="shared" si="6"/>
        <v>0</v>
      </c>
      <c r="F55" s="130">
        <f>SUMIF(Detail!F$60:F$82,Detail!F6,Detail!AB$60:AB$82)</f>
        <v>0</v>
      </c>
      <c r="G55" s="44">
        <f t="shared" si="7"/>
        <v>0</v>
      </c>
    </row>
    <row r="56" spans="1:8" s="30" customFormat="1" ht="21" customHeight="1" thickBot="1">
      <c r="A56" s="35" t="s">
        <v>12</v>
      </c>
      <c r="B56" s="36">
        <f t="shared" ref="B56:G56" si="9">SUM(B50:B55)</f>
        <v>17</v>
      </c>
      <c r="C56" s="54">
        <f t="shared" si="9"/>
        <v>1</v>
      </c>
      <c r="D56" s="37">
        <f t="shared" si="9"/>
        <v>1148</v>
      </c>
      <c r="E56" s="54">
        <f t="shared" si="9"/>
        <v>1</v>
      </c>
      <c r="F56" s="131">
        <f t="shared" si="9"/>
        <v>247147110</v>
      </c>
      <c r="G56" s="57">
        <f t="shared" si="9"/>
        <v>1</v>
      </c>
    </row>
    <row r="57" spans="1:8" s="30" customFormat="1">
      <c r="C57" s="45"/>
      <c r="E57" s="45"/>
      <c r="G57" s="45"/>
    </row>
    <row r="58" spans="1:8" s="30" customFormat="1">
      <c r="C58" s="45"/>
      <c r="E58" s="45"/>
      <c r="G58" s="45"/>
    </row>
    <row r="59" spans="1:8" s="30" customFormat="1">
      <c r="C59" s="45"/>
      <c r="E59" s="45"/>
      <c r="G59" s="45"/>
    </row>
    <row r="60" spans="1:8" s="30" customFormat="1">
      <c r="C60" s="45"/>
      <c r="E60" s="45"/>
      <c r="G60" s="45"/>
    </row>
    <row r="61" spans="1:8" s="30" customFormat="1" ht="17" thickBot="1">
      <c r="C61" s="45"/>
      <c r="E61" s="45"/>
      <c r="G61" s="45"/>
    </row>
    <row r="62" spans="1:8" s="59" customFormat="1" ht="19">
      <c r="A62" s="750" t="s">
        <v>238</v>
      </c>
      <c r="B62" s="751"/>
      <c r="C62" s="751"/>
      <c r="D62" s="751"/>
      <c r="E62" s="751"/>
      <c r="F62" s="751"/>
      <c r="G62" s="752"/>
    </row>
    <row r="63" spans="1:8" s="30" customFormat="1" ht="51">
      <c r="A63" s="138" t="s">
        <v>145</v>
      </c>
      <c r="B63" s="29" t="s">
        <v>144</v>
      </c>
      <c r="C63" s="53" t="s">
        <v>33</v>
      </c>
      <c r="D63" s="29" t="s">
        <v>42</v>
      </c>
      <c r="E63" s="53" t="s">
        <v>33</v>
      </c>
      <c r="F63" s="29" t="s">
        <v>233</v>
      </c>
      <c r="G63" s="56" t="s">
        <v>232</v>
      </c>
    </row>
    <row r="64" spans="1:8" s="30" customFormat="1">
      <c r="A64" s="173">
        <v>2011</v>
      </c>
      <c r="B64" s="32">
        <f>SUMIF(Detail!O$60:O$82,Detail!O2,Detail!G$60:G$82)</f>
        <v>0</v>
      </c>
      <c r="C64" s="43">
        <f t="shared" ref="C64:C71" si="10">B64/B$72</f>
        <v>0</v>
      </c>
      <c r="D64" s="33">
        <f>SUMIF(Detail!O$60:O$82,Detail!O2,Detail!T$60:T$82)</f>
        <v>0</v>
      </c>
      <c r="E64" s="43">
        <f t="shared" ref="E64:E71" si="11">D64/D$72</f>
        <v>0</v>
      </c>
      <c r="F64" s="34">
        <f>SUMIF(Detail!O$60:O$82,Detail!O2,Detail!AB$60:AB$82)</f>
        <v>0</v>
      </c>
      <c r="G64" s="132">
        <f>Detail!AR$82</f>
        <v>0</v>
      </c>
    </row>
    <row r="65" spans="1:7" s="30" customFormat="1">
      <c r="A65" s="173">
        <v>2012</v>
      </c>
      <c r="B65" s="32">
        <f>SUMIF(Detail!O$60:O$82,Detail!O3,Detail!G$60:G$82)</f>
        <v>0</v>
      </c>
      <c r="C65" s="43">
        <f t="shared" si="10"/>
        <v>0</v>
      </c>
      <c r="D65" s="33">
        <f>SUMIF(Detail!O$60:O$82,Detail!O3,Detail!T$60:T$82)</f>
        <v>0</v>
      </c>
      <c r="E65" s="43">
        <f t="shared" si="11"/>
        <v>0</v>
      </c>
      <c r="F65" s="34">
        <f>SUMIF(Detail!O$60:O$82,Detail!O3,Detail!AB$60:AB$82)</f>
        <v>0</v>
      </c>
      <c r="G65" s="132">
        <f>Detail!BG$82</f>
        <v>0</v>
      </c>
    </row>
    <row r="66" spans="1:7" s="30" customFormat="1">
      <c r="A66" s="173">
        <v>2013</v>
      </c>
      <c r="B66" s="32">
        <f>SUMIF(Detail!O$60:O$82,Detail!O4,Detail!G$60:G$82)</f>
        <v>3</v>
      </c>
      <c r="C66" s="43">
        <f t="shared" si="10"/>
        <v>0.21428571428571427</v>
      </c>
      <c r="D66" s="33">
        <f>SUMIF(Detail!O$60:O$82,Detail!O4,Detail!T$60:T$82)</f>
        <v>315</v>
      </c>
      <c r="E66" s="43">
        <f t="shared" si="11"/>
        <v>0.29886148007590135</v>
      </c>
      <c r="F66" s="34">
        <f>SUMIF(Detail!O$60:O$82,Detail!O4,Detail!AB$60:AB$82)</f>
        <v>93462560</v>
      </c>
      <c r="G66" s="132">
        <f>Detail!BH82</f>
        <v>1555379</v>
      </c>
    </row>
    <row r="67" spans="1:7" s="30" customFormat="1">
      <c r="A67" s="173">
        <v>2014</v>
      </c>
      <c r="B67" s="32">
        <f>SUMIF(Detail!O$60:O$82,Detail!O5,Detail!G$60:G$82)</f>
        <v>5</v>
      </c>
      <c r="C67" s="43">
        <f t="shared" si="10"/>
        <v>0.35714285714285715</v>
      </c>
      <c r="D67" s="33">
        <f>SUMIF(Detail!O$60:O$82,Detail!O5,Detail!T$60:T$82)</f>
        <v>420</v>
      </c>
      <c r="E67" s="43">
        <f t="shared" si="11"/>
        <v>0.39848197343453512</v>
      </c>
      <c r="F67" s="34">
        <f>SUMIF(Detail!O$60:O$82,Detail!O5,Detail!AB$60:AB$82)</f>
        <v>64100000</v>
      </c>
      <c r="G67" s="132">
        <f>Detail!BI82</f>
        <v>452983</v>
      </c>
    </row>
    <row r="68" spans="1:7" s="30" customFormat="1">
      <c r="A68" s="173">
        <v>2015</v>
      </c>
      <c r="B68" s="32">
        <f>SUMIF(Detail!O$60:O$82,Detail!O6,Detail!G$60:G$82)</f>
        <v>3</v>
      </c>
      <c r="C68" s="43">
        <f t="shared" si="10"/>
        <v>0.21428571428571427</v>
      </c>
      <c r="D68" s="33">
        <f>SUMIF(Detail!O$60:O$82,Detail!O6,Detail!T$60:T$82)</f>
        <v>170</v>
      </c>
      <c r="E68" s="43">
        <f t="shared" si="11"/>
        <v>0.16129032258064516</v>
      </c>
      <c r="F68" s="34">
        <f>SUMIF(Detail!O$60:O$82,Detail!O6,Detail!AB$60:AB$82)</f>
        <v>35809550</v>
      </c>
      <c r="G68" s="132">
        <f>Detail!BJ82</f>
        <v>1995477</v>
      </c>
    </row>
    <row r="69" spans="1:7" s="30" customFormat="1">
      <c r="A69" s="173">
        <v>2016</v>
      </c>
      <c r="B69" s="32">
        <f>SUMIF(Detail!O$60:O$82,Detail!O7,Detail!G$60:G$82)</f>
        <v>3</v>
      </c>
      <c r="C69" s="43">
        <f t="shared" si="10"/>
        <v>0.21428571428571427</v>
      </c>
      <c r="D69" s="33">
        <f>SUMIF(Detail!O$60:O$82,Detail!O7,Detail!T$60:T$82)</f>
        <v>149</v>
      </c>
      <c r="E69" s="43">
        <f t="shared" si="11"/>
        <v>0.1413662239089184</v>
      </c>
      <c r="F69" s="34">
        <f>SUMIF(Detail!O$60:O$82,Detail!O7,Detail!AB$60:AB$82)</f>
        <v>34975000</v>
      </c>
      <c r="G69" s="132">
        <f>Detail!BK82</f>
        <v>3198665</v>
      </c>
    </row>
    <row r="70" spans="1:7" s="30" customFormat="1">
      <c r="A70" s="173">
        <v>2017</v>
      </c>
      <c r="B70" s="32">
        <f>SUMIF(Detail!O$60:O$82,Detail!O8,Detail!G$60:G$82)</f>
        <v>0</v>
      </c>
      <c r="C70" s="43">
        <f t="shared" si="10"/>
        <v>0</v>
      </c>
      <c r="D70" s="33">
        <f>SUMIF(Detail!O$60:O$82,Detail!O8,Detail!T$60:T$82)</f>
        <v>0</v>
      </c>
      <c r="E70" s="43">
        <f t="shared" si="11"/>
        <v>0</v>
      </c>
      <c r="F70" s="34">
        <f>SUMIF(Detail!O$60:O$82,Detail!O8,Detail!AB$60:AB$82)</f>
        <v>0</v>
      </c>
      <c r="G70" s="132">
        <f>Detail!BL82</f>
        <v>1647822</v>
      </c>
    </row>
    <row r="71" spans="1:7" s="30" customFormat="1" ht="17" thickBot="1">
      <c r="A71" s="173">
        <v>2018</v>
      </c>
      <c r="B71" s="32">
        <f>SUMIF(Detail!O$60:O$82,Detail!O9,Detail!G$60:G$82)</f>
        <v>0</v>
      </c>
      <c r="C71" s="43">
        <f t="shared" si="10"/>
        <v>0</v>
      </c>
      <c r="D71" s="33">
        <f>SUMIF(Detail!O$60:O$82,Detail!O9,Detail!T$60:T$82)</f>
        <v>0</v>
      </c>
      <c r="E71" s="43">
        <f t="shared" si="11"/>
        <v>0</v>
      </c>
      <c r="F71" s="34">
        <f>SUMIF(Detail!O$60:O$82,Detail!O9,Detail!AB$60:AB$82)</f>
        <v>0</v>
      </c>
      <c r="G71" s="132">
        <f>Detail!BM82</f>
        <v>1785701</v>
      </c>
    </row>
    <row r="72" spans="1:7" s="30" customFormat="1" ht="18.75" customHeight="1" thickBot="1">
      <c r="A72" s="35" t="s">
        <v>35</v>
      </c>
      <c r="B72" s="36">
        <f t="shared" ref="B72:G72" si="12">SUM(B64:B71)</f>
        <v>14</v>
      </c>
      <c r="C72" s="54">
        <f t="shared" si="12"/>
        <v>1</v>
      </c>
      <c r="D72" s="37">
        <f t="shared" si="12"/>
        <v>1054</v>
      </c>
      <c r="E72" s="54">
        <f t="shared" si="12"/>
        <v>1</v>
      </c>
      <c r="F72" s="38">
        <f t="shared" si="12"/>
        <v>228347110</v>
      </c>
      <c r="G72" s="133">
        <f t="shared" si="12"/>
        <v>10636027</v>
      </c>
    </row>
    <row r="73" spans="1:7" s="30" customFormat="1">
      <c r="A73" s="49" t="s">
        <v>150</v>
      </c>
      <c r="C73" s="45"/>
      <c r="E73" s="45"/>
      <c r="G73" s="45"/>
    </row>
    <row r="74" spans="1:7" s="30" customFormat="1" ht="15" customHeight="1">
      <c r="A74" s="49" t="s">
        <v>239</v>
      </c>
      <c r="C74" s="45"/>
      <c r="E74" s="45"/>
      <c r="G74" s="45"/>
    </row>
    <row r="75" spans="1:7" s="30" customFormat="1" ht="15" customHeight="1">
      <c r="C75" s="45"/>
      <c r="E75" s="45"/>
      <c r="G75" s="45"/>
    </row>
  </sheetData>
  <mergeCells count="5">
    <mergeCell ref="A3:G3"/>
    <mergeCell ref="A15:G15"/>
    <mergeCell ref="A34:G34"/>
    <mergeCell ref="A48:G48"/>
    <mergeCell ref="A62:G62"/>
  </mergeCells>
  <printOptions horizontalCentered="1"/>
  <pageMargins left="0.2" right="0.2" top="0.38" bottom="0.34" header="0.17" footer="0.16"/>
  <pageSetup scale="85" orientation="landscape" r:id="rId1"/>
  <headerFooter>
    <oddHeader>&amp;C&amp;"-,Bold"&amp;14MERCY HOUSING LAKEFRONT - INACTIVE PIPELINE SUMMARY</oddHeader>
    <oddFooter>&amp;C&amp;D</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baseColWidth="10" defaultColWidth="8.83203125"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tabColor theme="9" tint="-0.249977111117893"/>
  </sheetPr>
  <dimension ref="A1:H74"/>
  <sheetViews>
    <sheetView tabSelected="1" topLeftCell="A44" workbookViewId="0">
      <selection activeCell="O67" sqref="O67"/>
    </sheetView>
  </sheetViews>
  <sheetFormatPr baseColWidth="10" defaultColWidth="9.1640625" defaultRowHeight="16" outlineLevelRow="1"/>
  <cols>
    <col min="1" max="1" width="28.1640625" style="26" customWidth="1"/>
    <col min="2" max="2" width="11.83203125" style="26" customWidth="1"/>
    <col min="3" max="3" width="9.33203125" style="52" customWidth="1"/>
    <col min="4" max="4" width="11.5" style="26" customWidth="1"/>
    <col min="5" max="5" width="10" style="52" customWidth="1"/>
    <col min="6" max="6" width="16.83203125" style="26" customWidth="1"/>
    <col min="7" max="7" width="12.83203125" style="52" customWidth="1"/>
    <col min="8" max="8" width="4.6640625" style="26" customWidth="1"/>
    <col min="9" max="9" width="19.5" style="26" customWidth="1"/>
    <col min="10" max="11" width="8.6640625" style="26" customWidth="1"/>
    <col min="12" max="12" width="10.33203125" style="26" customWidth="1"/>
    <col min="13" max="13" width="9.1640625" style="26"/>
    <col min="14" max="14" width="13.6640625" style="26" customWidth="1"/>
    <col min="15" max="16384" width="9.1640625" style="26"/>
  </cols>
  <sheetData>
    <row r="1" spans="1:7" ht="19">
      <c r="A1" s="51" t="s">
        <v>266</v>
      </c>
    </row>
    <row r="2" spans="1:7" ht="6" customHeight="1" thickBot="1"/>
    <row r="3" spans="1:7" s="50" customFormat="1" ht="19">
      <c r="A3" s="750" t="s">
        <v>146</v>
      </c>
      <c r="B3" s="751"/>
      <c r="C3" s="751"/>
      <c r="D3" s="751"/>
      <c r="E3" s="751"/>
      <c r="F3" s="751"/>
      <c r="G3" s="752"/>
    </row>
    <row r="4" spans="1:7" s="30" customFormat="1" ht="34">
      <c r="A4" s="27" t="s">
        <v>36</v>
      </c>
      <c r="B4" s="28" t="s">
        <v>143</v>
      </c>
      <c r="C4" s="53" t="s">
        <v>33</v>
      </c>
      <c r="D4" s="29" t="s">
        <v>32</v>
      </c>
      <c r="E4" s="53" t="s">
        <v>33</v>
      </c>
      <c r="F4" s="29" t="s">
        <v>233</v>
      </c>
      <c r="G4" s="56" t="s">
        <v>33</v>
      </c>
    </row>
    <row r="5" spans="1:7" s="30" customFormat="1" ht="17">
      <c r="A5" s="31" t="s">
        <v>138</v>
      </c>
      <c r="B5" s="32">
        <f>SUMIF(Detail!V$26:V$82,Detail!V4,Detail!G$26:G$82)</f>
        <v>9</v>
      </c>
      <c r="C5" s="43">
        <f>B5/B$9</f>
        <v>0.21951219512195122</v>
      </c>
      <c r="D5" s="33">
        <f>SUMIF(Detail!V$26:V$82,Detail!V4,Detail!T$26:T$82)</f>
        <v>1218</v>
      </c>
      <c r="E5" s="43">
        <f>D5/D$9</f>
        <v>0.31570762052877138</v>
      </c>
      <c r="F5" s="130">
        <f>SUMIF(Detail!V$26:V$82,Detail!V4,Detail!AB$26:AB$82)</f>
        <v>205581105</v>
      </c>
      <c r="G5" s="44">
        <f>F5/F$9</f>
        <v>0.27699278421911361</v>
      </c>
    </row>
    <row r="6" spans="1:7" s="30" customFormat="1" ht="17">
      <c r="A6" s="31" t="s">
        <v>136</v>
      </c>
      <c r="B6" s="32">
        <f>SUMIF(Detail!V$26:V$82,Detail!V2,Detail!G$26:G$82)</f>
        <v>14</v>
      </c>
      <c r="C6" s="43">
        <f>B6/B$9</f>
        <v>0.34146341463414637</v>
      </c>
      <c r="D6" s="33">
        <f>SUMIF(Detail!V$26:V$82,Detail!V3,Detail!T$26:T$82)</f>
        <v>925</v>
      </c>
      <c r="E6" s="43">
        <f>D6/D$9</f>
        <v>0.23976153447382062</v>
      </c>
      <c r="F6" s="130">
        <f>SUMIF(Detail!V$26:V$82,Detail!V3,Detail!AB$26:AB$82)</f>
        <v>213709632</v>
      </c>
      <c r="G6" s="44">
        <f>F6/F$9</f>
        <v>0.28794487694830795</v>
      </c>
    </row>
    <row r="7" spans="1:7" s="30" customFormat="1" ht="17">
      <c r="A7" s="31" t="s">
        <v>137</v>
      </c>
      <c r="B7" s="32">
        <f>SUMIF(Detail!V$26:V$82,Detail!V3,Detail!G$26:G$82)</f>
        <v>14</v>
      </c>
      <c r="C7" s="43">
        <f>B7/B$9</f>
        <v>0.34146341463414637</v>
      </c>
      <c r="D7" s="33">
        <f>SUMIF(Detail!V$26:V$82,Detail!V2,Detail!T$26:T$82)</f>
        <v>1607</v>
      </c>
      <c r="E7" s="43">
        <f>D7/D$9</f>
        <v>0.41653706583722133</v>
      </c>
      <c r="F7" s="130">
        <f>SUMIF(Detail!V$26:V$82,Detail!V2,Detail!AB$26:AB$82)</f>
        <v>301298651</v>
      </c>
      <c r="G7" s="44">
        <f>F7/F$9</f>
        <v>0.40595925497118535</v>
      </c>
    </row>
    <row r="8" spans="1:7" s="30" customFormat="1" ht="18" thickBot="1">
      <c r="A8" s="31" t="s">
        <v>263</v>
      </c>
      <c r="B8" s="32">
        <f>SUMIF(Detail!V$26:V$82,Detail!V5,Detail!G$26:G$82)</f>
        <v>4</v>
      </c>
      <c r="C8" s="43">
        <f>B8/B$9</f>
        <v>9.7560975609756101E-2</v>
      </c>
      <c r="D8" s="33">
        <f>SUMIF(Detail!V$26:V$82,Detail!V5,Detail!T$26:T$82)</f>
        <v>108</v>
      </c>
      <c r="E8" s="43">
        <f>D8/D$9</f>
        <v>2.7993779160186624E-2</v>
      </c>
      <c r="F8" s="130">
        <f>SUMIF(Detail!V$26:V$82,Detail!V5,Detail!AB$26:AB$82)</f>
        <v>21600000</v>
      </c>
      <c r="G8" s="44">
        <f>F8/F$9</f>
        <v>2.910308386139307E-2</v>
      </c>
    </row>
    <row r="9" spans="1:7" s="30" customFormat="1" ht="20.25" customHeight="1" thickBot="1">
      <c r="A9" s="35" t="s">
        <v>12</v>
      </c>
      <c r="B9" s="36">
        <f t="shared" ref="B9:G9" si="0">SUM(B5:B8)</f>
        <v>41</v>
      </c>
      <c r="C9" s="54">
        <f t="shared" si="0"/>
        <v>1.0000000000000002</v>
      </c>
      <c r="D9" s="37">
        <f t="shared" si="0"/>
        <v>3858</v>
      </c>
      <c r="E9" s="54">
        <f t="shared" si="0"/>
        <v>0.99999999999999989</v>
      </c>
      <c r="F9" s="131">
        <f t="shared" si="0"/>
        <v>742189388</v>
      </c>
      <c r="G9" s="57">
        <f t="shared" si="0"/>
        <v>0.99999999999999989</v>
      </c>
    </row>
    <row r="10" spans="1:7" s="30" customFormat="1">
      <c r="C10" s="45"/>
      <c r="E10" s="45"/>
      <c r="G10" s="45"/>
    </row>
    <row r="11" spans="1:7" s="30" customFormat="1">
      <c r="C11" s="45"/>
      <c r="E11" s="45"/>
      <c r="G11" s="45"/>
    </row>
    <row r="12" spans="1:7" s="30" customFormat="1">
      <c r="C12" s="45"/>
      <c r="E12" s="45"/>
      <c r="G12" s="45"/>
    </row>
    <row r="13" spans="1:7" s="30" customFormat="1">
      <c r="C13" s="45"/>
      <c r="E13" s="45"/>
      <c r="G13" s="45"/>
    </row>
    <row r="14" spans="1:7" s="30" customFormat="1" ht="13.5" customHeight="1" thickBot="1">
      <c r="C14" s="45"/>
      <c r="E14" s="45"/>
      <c r="G14" s="45"/>
    </row>
    <row r="15" spans="1:7" s="59" customFormat="1" ht="19">
      <c r="A15" s="750" t="s">
        <v>147</v>
      </c>
      <c r="B15" s="751"/>
      <c r="C15" s="751"/>
      <c r="D15" s="751"/>
      <c r="E15" s="751"/>
      <c r="F15" s="751"/>
      <c r="G15" s="752"/>
    </row>
    <row r="16" spans="1:7" s="30" customFormat="1" ht="34">
      <c r="A16" s="39" t="s">
        <v>37</v>
      </c>
      <c r="B16" s="28" t="s">
        <v>143</v>
      </c>
      <c r="C16" s="53" t="s">
        <v>33</v>
      </c>
      <c r="D16" s="29" t="s">
        <v>32</v>
      </c>
      <c r="E16" s="53" t="s">
        <v>33</v>
      </c>
      <c r="F16" s="29" t="s">
        <v>233</v>
      </c>
      <c r="G16" s="56" t="s">
        <v>33</v>
      </c>
    </row>
    <row r="17" spans="1:7" s="30" customFormat="1" ht="17">
      <c r="A17" s="40" t="s">
        <v>8</v>
      </c>
      <c r="B17" s="32">
        <f>+COUNTIF(Detail!C$26:C$82,"chicago")</f>
        <v>24</v>
      </c>
      <c r="C17" s="43">
        <f>B17/B28</f>
        <v>0.58536585365853655</v>
      </c>
      <c r="D17" s="41">
        <f>SUMIF(Detail!C$26:C$82,"chicago",Detail!T$26:T$82)</f>
        <v>2677</v>
      </c>
      <c r="E17" s="43">
        <f t="shared" ref="E17:E22" si="1">+D17/D$28</f>
        <v>0.69388284085018148</v>
      </c>
      <c r="F17" s="130">
        <f>SUMIF(Detail!C$26:C$82,"chicago",Detail!AB$26:AB$82)</f>
        <v>511092756</v>
      </c>
      <c r="G17" s="44">
        <f t="shared" ref="G17:G22" si="2">+F17/F$28</f>
        <v>0.68862848790826414</v>
      </c>
    </row>
    <row r="18" spans="1:7" s="30" customFormat="1" ht="17">
      <c r="A18" s="40" t="s">
        <v>20</v>
      </c>
      <c r="B18" s="32">
        <f>+COUNTIF(Detail!C$26:C$82,"milwaukee")</f>
        <v>5</v>
      </c>
      <c r="C18" s="43">
        <f>+B18/B$28</f>
        <v>0.12195121951219512</v>
      </c>
      <c r="D18" s="41">
        <f>SUMIF(Detail!C$26:C$82,"milwaukee",Detail!T$26:T$82)</f>
        <v>316</v>
      </c>
      <c r="E18" s="43">
        <f t="shared" si="1"/>
        <v>8.1907724209434943E-2</v>
      </c>
      <c r="F18" s="130">
        <f>SUMIF(Detail!C$26:C$82,"milwaukee",Detail!AB$26:AB$82)</f>
        <v>43973000</v>
      </c>
      <c r="G18" s="44">
        <f t="shared" si="2"/>
        <v>5.9247680862825808E-2</v>
      </c>
    </row>
    <row r="19" spans="1:7" s="30" customFormat="1" ht="17" hidden="1" outlineLevel="1">
      <c r="A19" s="40" t="s">
        <v>40</v>
      </c>
      <c r="B19" s="32">
        <f>+COUNTIF(Detail!C$26:C$82,"countryside")</f>
        <v>1</v>
      </c>
      <c r="C19" s="43">
        <f>+B19/B$28</f>
        <v>2.4390243902439025E-2</v>
      </c>
      <c r="D19" s="41">
        <f>SUMIF(Detail!C$26:C$82,"countryside",Detail!T$26:T$82)</f>
        <v>70</v>
      </c>
      <c r="E19" s="43">
        <f t="shared" si="1"/>
        <v>1.8144116122343183E-2</v>
      </c>
      <c r="F19" s="130">
        <f>SUMIF(Detail!C$26:C$82,"countryside",Detail!AB$26:AB$82)</f>
        <v>16101522</v>
      </c>
      <c r="G19" s="44">
        <f t="shared" si="2"/>
        <v>2.1694627086206734E-2</v>
      </c>
    </row>
    <row r="20" spans="1:7" s="30" customFormat="1" ht="17" hidden="1" outlineLevel="1">
      <c r="A20" s="40" t="s">
        <v>4</v>
      </c>
      <c r="B20" s="32">
        <f>+COUNTIF(Detail!C$26:C$82,"grayslake")</f>
        <v>1</v>
      </c>
      <c r="C20" s="43">
        <f>+B20/B$28</f>
        <v>2.4390243902439025E-2</v>
      </c>
      <c r="D20" s="41">
        <f>SUMIF(Detail!C$26:C$82,"grayslake",Detail!T$26:T$82)</f>
        <v>70</v>
      </c>
      <c r="E20" s="43">
        <f t="shared" si="1"/>
        <v>1.8144116122343183E-2</v>
      </c>
      <c r="F20" s="130">
        <f>SUMIF(Detail!C$26:C$82,"grayslake",Detail!AB$26:AB$82)</f>
        <v>21400000</v>
      </c>
      <c r="G20" s="44">
        <f t="shared" si="2"/>
        <v>2.8833610862676468E-2</v>
      </c>
    </row>
    <row r="21" spans="1:7" s="30" customFormat="1" ht="17" hidden="1" outlineLevel="1">
      <c r="A21" s="40" t="s">
        <v>34</v>
      </c>
      <c r="B21" s="32">
        <f>+COUNTIF(Detail!C$26:C$82,"Aurora")</f>
        <v>4</v>
      </c>
      <c r="C21" s="43">
        <f>+B21/B$28</f>
        <v>9.7560975609756101E-2</v>
      </c>
      <c r="D21" s="41">
        <f>SUMIF(Detail!C$26:C$82,"aurora",Detail!T$26:T$82)</f>
        <v>355</v>
      </c>
      <c r="E21" s="43">
        <f t="shared" si="1"/>
        <v>9.2016588906168997E-2</v>
      </c>
      <c r="F21" s="130">
        <f>SUMIF(Detail!C$26:C$82,"aurora",Detail!AB$26:AB$82)</f>
        <v>83712560</v>
      </c>
      <c r="G21" s="44">
        <f t="shared" si="2"/>
        <v>0.11279137286721755</v>
      </c>
    </row>
    <row r="22" spans="1:7" s="30" customFormat="1" ht="15" hidden="1" customHeight="1" outlineLevel="1">
      <c r="A22" s="40" t="s">
        <v>106</v>
      </c>
      <c r="B22" s="32">
        <f>+COUNTIF(Detail!C$26:C$82,"kankakee")</f>
        <v>1</v>
      </c>
      <c r="C22" s="43">
        <f>+B22/B$28</f>
        <v>2.4390243902439025E-2</v>
      </c>
      <c r="D22" s="41">
        <f>SUMIF(Detail!C$26:C$82,"kankakee",Detail!T$26:T$82)</f>
        <v>70</v>
      </c>
      <c r="E22" s="43">
        <f t="shared" si="1"/>
        <v>1.8144116122343183E-2</v>
      </c>
      <c r="F22" s="130">
        <f>SUMIF(Detail!C$26:C$82,"kankakee",Detail!AB$26:AB$82)</f>
        <v>18900000</v>
      </c>
      <c r="G22" s="44">
        <f t="shared" si="2"/>
        <v>2.5465198378718936E-2</v>
      </c>
    </row>
    <row r="23" spans="1:7" s="30" customFormat="1" ht="17" collapsed="1">
      <c r="A23" s="40" t="s">
        <v>264</v>
      </c>
      <c r="B23" s="32">
        <f t="shared" ref="B23:G23" si="3">SUM(B19:B22)</f>
        <v>7</v>
      </c>
      <c r="C23" s="43">
        <f t="shared" si="3"/>
        <v>0.17073170731707318</v>
      </c>
      <c r="D23" s="41">
        <f t="shared" si="3"/>
        <v>565</v>
      </c>
      <c r="E23" s="43">
        <f t="shared" si="3"/>
        <v>0.14644893727319855</v>
      </c>
      <c r="F23" s="130">
        <f t="shared" si="3"/>
        <v>140114082</v>
      </c>
      <c r="G23" s="44">
        <f t="shared" si="3"/>
        <v>0.18878480919481969</v>
      </c>
    </row>
    <row r="24" spans="1:7" s="30" customFormat="1" ht="17" hidden="1" outlineLevel="1">
      <c r="A24" s="40" t="s">
        <v>5</v>
      </c>
      <c r="B24" s="32">
        <f>+COUNTIF(Detail!C$26:C$82,"danville")</f>
        <v>3</v>
      </c>
      <c r="C24" s="43">
        <f>+B24/B$28</f>
        <v>7.3170731707317069E-2</v>
      </c>
      <c r="D24" s="41">
        <f>SUMIF(Detail!C$26:C$82,"danville",Detail!T$26:T$82)</f>
        <v>180</v>
      </c>
      <c r="E24" s="43">
        <f>+D24/D$28</f>
        <v>4.6656298600311043E-2</v>
      </c>
      <c r="F24" s="130">
        <f>SUMIF(Detail!C$26:C$82,"danville",Detail!AB$26:AB$82)</f>
        <v>47009550</v>
      </c>
      <c r="G24" s="44">
        <f>+F24/F$28</f>
        <v>6.3339022034090309E-2</v>
      </c>
    </row>
    <row r="25" spans="1:7" s="30" customFormat="1" ht="17" hidden="1" outlineLevel="1">
      <c r="A25" s="40" t="s">
        <v>126</v>
      </c>
      <c r="B25" s="32">
        <f>+COUNTIF(Detail!C$26:C$82,"indianapolis")</f>
        <v>1</v>
      </c>
      <c r="C25" s="43">
        <f>+B25/B$28</f>
        <v>2.4390243902439025E-2</v>
      </c>
      <c r="D25" s="41">
        <f>SUMIF(Detail!C$26:C$82,"indianapolis",Detail!T$26:T$82)</f>
        <v>60</v>
      </c>
      <c r="E25" s="43">
        <f>+D25/D$28</f>
        <v>1.5552099533437015E-2</v>
      </c>
      <c r="F25" s="130">
        <f>SUMIF(Detail!C$26:C$82,"indianapolis",Detail!AB$26:AB$82)</f>
        <v>0</v>
      </c>
      <c r="G25" s="44">
        <f>+F25/F$28</f>
        <v>0</v>
      </c>
    </row>
    <row r="26" spans="1:7" s="30" customFormat="1" ht="17" hidden="1" outlineLevel="1">
      <c r="A26" s="40" t="s">
        <v>262</v>
      </c>
      <c r="B26" s="32">
        <f>+COUNTIF(Detail!C$26:C$82,"st louis")</f>
        <v>1</v>
      </c>
      <c r="C26" s="43">
        <f>+B26/B$28</f>
        <v>2.4390243902439025E-2</v>
      </c>
      <c r="D26" s="41">
        <f>SUMIF(Detail!C$26:C$82,"st louis",Detail!T$26:T$82)</f>
        <v>60</v>
      </c>
      <c r="E26" s="43">
        <f>+D26/D$28</f>
        <v>1.5552099533437015E-2</v>
      </c>
      <c r="F26" s="130">
        <f>SUMIF(Detail!C$26:C$82,"st louis",Detail!AB$26:AB$82)</f>
        <v>0</v>
      </c>
      <c r="G26" s="44">
        <f>+F26/F$28</f>
        <v>0</v>
      </c>
    </row>
    <row r="27" spans="1:7" s="30" customFormat="1" ht="18" collapsed="1" thickBot="1">
      <c r="A27" s="40" t="s">
        <v>265</v>
      </c>
      <c r="B27" s="32">
        <f t="shared" ref="B27:G27" si="4">SUM(B24:B26)</f>
        <v>5</v>
      </c>
      <c r="C27" s="43">
        <f t="shared" si="4"/>
        <v>0.12195121951219512</v>
      </c>
      <c r="D27" s="41">
        <f t="shared" si="4"/>
        <v>300</v>
      </c>
      <c r="E27" s="43">
        <f t="shared" si="4"/>
        <v>7.7760497667185069E-2</v>
      </c>
      <c r="F27" s="130">
        <f t="shared" si="4"/>
        <v>47009550</v>
      </c>
      <c r="G27" s="44">
        <f t="shared" si="4"/>
        <v>6.3339022034090309E-2</v>
      </c>
    </row>
    <row r="28" spans="1:7" s="30" customFormat="1" ht="18" customHeight="1" thickBot="1">
      <c r="A28" s="35" t="s">
        <v>35</v>
      </c>
      <c r="B28" s="36">
        <f t="shared" ref="B28:G28" si="5">B17+B18+B23+B27</f>
        <v>41</v>
      </c>
      <c r="C28" s="54">
        <f t="shared" si="5"/>
        <v>1</v>
      </c>
      <c r="D28" s="37">
        <f t="shared" si="5"/>
        <v>3858</v>
      </c>
      <c r="E28" s="54">
        <f t="shared" si="5"/>
        <v>1</v>
      </c>
      <c r="F28" s="131">
        <f t="shared" si="5"/>
        <v>742189388</v>
      </c>
      <c r="G28" s="57">
        <f t="shared" si="5"/>
        <v>1</v>
      </c>
    </row>
    <row r="29" spans="1:7" s="30" customFormat="1">
      <c r="C29" s="45"/>
      <c r="E29" s="45"/>
      <c r="G29" s="45"/>
    </row>
    <row r="30" spans="1:7" s="30" customFormat="1">
      <c r="C30" s="45"/>
      <c r="E30" s="45"/>
      <c r="G30" s="45"/>
    </row>
    <row r="31" spans="1:7" s="30" customFormat="1">
      <c r="C31" s="45"/>
      <c r="E31" s="45"/>
      <c r="G31" s="45"/>
    </row>
    <row r="32" spans="1:7" s="30" customFormat="1">
      <c r="C32" s="45"/>
      <c r="E32" s="45"/>
      <c r="G32" s="45"/>
    </row>
    <row r="33" spans="1:8" s="30" customFormat="1" ht="12.75" customHeight="1" thickBot="1">
      <c r="C33" s="45"/>
      <c r="E33" s="45"/>
      <c r="G33" s="45"/>
    </row>
    <row r="34" spans="1:8" s="59" customFormat="1" ht="19">
      <c r="A34" s="750" t="s">
        <v>148</v>
      </c>
      <c r="B34" s="751"/>
      <c r="C34" s="751"/>
      <c r="D34" s="751"/>
      <c r="E34" s="751"/>
      <c r="F34" s="751"/>
      <c r="G34" s="752"/>
    </row>
    <row r="35" spans="1:8" s="30" customFormat="1" ht="34">
      <c r="A35" s="42"/>
      <c r="B35" s="28" t="s">
        <v>143</v>
      </c>
      <c r="C35" s="53" t="s">
        <v>33</v>
      </c>
      <c r="D35" s="29" t="s">
        <v>32</v>
      </c>
      <c r="E35" s="53" t="s">
        <v>33</v>
      </c>
      <c r="F35" s="29" t="s">
        <v>233</v>
      </c>
      <c r="G35" s="56" t="s">
        <v>33</v>
      </c>
    </row>
    <row r="36" spans="1:8" s="30" customFormat="1" ht="17">
      <c r="A36" s="40" t="s">
        <v>111</v>
      </c>
      <c r="B36" s="32">
        <f>SUMIF(Detail!D$26:D$82,Detail!D4,Detail!G$26:G$82)</f>
        <v>29</v>
      </c>
      <c r="C36" s="43">
        <f>B36/B$41</f>
        <v>0.70731707317073167</v>
      </c>
      <c r="D36" s="33">
        <f>SUMIF(Detail!D$26:D$82,Detail!D4,Detail!T$26:T$82)</f>
        <v>1837</v>
      </c>
      <c r="E36" s="43">
        <f>D36/D$41</f>
        <v>0.47615344738206322</v>
      </c>
      <c r="F36" s="130">
        <f>SUMIF(Detail!D$26:D$82,Detail!D4,Detail!AB$26:AB$82)</f>
        <v>386615132</v>
      </c>
      <c r="G36" s="44">
        <f>F36/F$41</f>
        <v>0.52091169484627553</v>
      </c>
    </row>
    <row r="37" spans="1:8" s="30" customFormat="1" ht="17">
      <c r="A37" s="40" t="s">
        <v>247</v>
      </c>
      <c r="B37" s="32">
        <f>SUMIF(Detail!D$26:D$82,Detail!D2,Detail!G$26:G$82)</f>
        <v>4</v>
      </c>
      <c r="C37" s="43">
        <f>B37/B$41</f>
        <v>9.7560975609756101E-2</v>
      </c>
      <c r="D37" s="33">
        <f>SUMIF(Detail!D$26:D$82,Detail!D2,Detail!T$26:T$82)</f>
        <v>696</v>
      </c>
      <c r="E37" s="43">
        <f>D37/D$41</f>
        <v>0.18040435458786935</v>
      </c>
      <c r="F37" s="130">
        <f>SUMIF(Detail!D$26:D$82,Detail!D2,Detail!AB$26:AB$82)</f>
        <v>136761151</v>
      </c>
      <c r="G37" s="44">
        <f>F37/F$41</f>
        <v>0.18426718733952041</v>
      </c>
      <c r="H37" s="45"/>
    </row>
    <row r="38" spans="1:8" s="30" customFormat="1" ht="17">
      <c r="A38" s="40" t="s">
        <v>248</v>
      </c>
      <c r="B38" s="32">
        <f>SUMIF(Detail!D$26:D$82,Detail!D3,Detail!G$26:G$82)</f>
        <v>5</v>
      </c>
      <c r="C38" s="43">
        <f>B38/B$41</f>
        <v>0.12195121951219512</v>
      </c>
      <c r="D38" s="33">
        <f>SUMIF(Detail!D$26:D$82,Detail!D3,Detail!T$26:T$82)</f>
        <v>492</v>
      </c>
      <c r="E38" s="43">
        <f>D38/D$41</f>
        <v>0.12752721617418353</v>
      </c>
      <c r="F38" s="130">
        <f>SUMIF(Detail!D$26:D$82,Detail!D3,Detail!AB$26:AB$82)</f>
        <v>129248000</v>
      </c>
      <c r="G38" s="44">
        <f>F38/F$41</f>
        <v>0.17414423069061721</v>
      </c>
    </row>
    <row r="39" spans="1:8" s="30" customFormat="1" ht="18" thickBot="1">
      <c r="A39" s="40" t="s">
        <v>249</v>
      </c>
      <c r="B39" s="32">
        <f>SUMIF(Detail!D$26:D$82,Detail!D5,Detail!G$26:G$82)</f>
        <v>3</v>
      </c>
      <c r="C39" s="43">
        <f>B39/B$41</f>
        <v>7.3170731707317069E-2</v>
      </c>
      <c r="D39" s="33">
        <f>SUMIF(Detail!D$26:D$82,Detail!D5,Detail!T$26:T$82)</f>
        <v>833</v>
      </c>
      <c r="E39" s="43">
        <f>D39/D$41</f>
        <v>0.21591498185588387</v>
      </c>
      <c r="F39" s="130">
        <f>SUMIF(Detail!D$26:D$82,Detail!D5,Detail!AB$26:AB$82)</f>
        <v>89565105</v>
      </c>
      <c r="G39" s="44">
        <f>F39/F$41</f>
        <v>0.12067688712358685</v>
      </c>
    </row>
    <row r="40" spans="1:8" s="30" customFormat="1" ht="18" hidden="1" thickBot="1">
      <c r="A40" s="40" t="s">
        <v>152</v>
      </c>
      <c r="B40" s="32">
        <f>SUMIF(Detail!D$38:D$56,Detail!D6,Detail!G$38:G$56)</f>
        <v>0</v>
      </c>
      <c r="C40" s="43">
        <f>B40/B$41</f>
        <v>0</v>
      </c>
      <c r="D40" s="33">
        <f>SUMIF(Detail!D$38:D$56,Detail!D6,Detail!T$38:T$56)</f>
        <v>0</v>
      </c>
      <c r="E40" s="43">
        <f>D40/D$41</f>
        <v>0</v>
      </c>
      <c r="F40" s="130">
        <f>SUMIF(Detail!D$38:D$56,Detail!D6,Detail!AB$38:AB$56)</f>
        <v>0</v>
      </c>
      <c r="G40" s="44">
        <f>F40/F$41</f>
        <v>0</v>
      </c>
    </row>
    <row r="41" spans="1:8" s="30" customFormat="1" ht="19.5" customHeight="1" thickBot="1">
      <c r="A41" s="35" t="s">
        <v>12</v>
      </c>
      <c r="B41" s="36">
        <f t="shared" ref="B41:G41" si="6">SUM(B36:B39)</f>
        <v>41</v>
      </c>
      <c r="C41" s="54">
        <f t="shared" si="6"/>
        <v>0.99999999999999989</v>
      </c>
      <c r="D41" s="37">
        <f t="shared" si="6"/>
        <v>3858</v>
      </c>
      <c r="E41" s="54">
        <f t="shared" si="6"/>
        <v>0.99999999999999989</v>
      </c>
      <c r="F41" s="131">
        <f t="shared" si="6"/>
        <v>742189388</v>
      </c>
      <c r="G41" s="57">
        <f t="shared" si="6"/>
        <v>1</v>
      </c>
    </row>
    <row r="42" spans="1:8" s="30" customFormat="1">
      <c r="C42" s="45"/>
      <c r="E42" s="45"/>
      <c r="G42" s="45"/>
    </row>
    <row r="43" spans="1:8" s="30" customFormat="1">
      <c r="C43" s="45"/>
      <c r="E43" s="45"/>
      <c r="G43" s="45"/>
    </row>
    <row r="44" spans="1:8" s="30" customFormat="1">
      <c r="C44" s="45"/>
      <c r="E44" s="45"/>
      <c r="G44" s="45"/>
    </row>
    <row r="45" spans="1:8" s="30" customFormat="1">
      <c r="C45" s="45"/>
      <c r="E45" s="45"/>
      <c r="G45" s="45"/>
    </row>
    <row r="46" spans="1:8" s="30" customFormat="1" ht="17" thickBot="1">
      <c r="C46" s="45"/>
      <c r="E46" s="45"/>
      <c r="G46" s="45"/>
    </row>
    <row r="47" spans="1:8" s="59" customFormat="1" ht="20" thickBot="1">
      <c r="A47" s="750" t="s">
        <v>149</v>
      </c>
      <c r="B47" s="751"/>
      <c r="C47" s="751"/>
      <c r="D47" s="751"/>
      <c r="E47" s="751"/>
      <c r="F47" s="751"/>
      <c r="G47" s="752"/>
    </row>
    <row r="48" spans="1:8" s="30" customFormat="1" ht="34">
      <c r="A48" s="46" t="s">
        <v>45</v>
      </c>
      <c r="B48" s="47" t="s">
        <v>143</v>
      </c>
      <c r="C48" s="55" t="s">
        <v>33</v>
      </c>
      <c r="D48" s="48" t="s">
        <v>42</v>
      </c>
      <c r="E48" s="55" t="s">
        <v>33</v>
      </c>
      <c r="F48" s="29" t="s">
        <v>233</v>
      </c>
      <c r="G48" s="58" t="s">
        <v>33</v>
      </c>
    </row>
    <row r="49" spans="1:8" s="30" customFormat="1" ht="17">
      <c r="A49" s="40" t="s">
        <v>115</v>
      </c>
      <c r="B49" s="32">
        <f>SUMIF(Detail!F$26:F$82,Detail!F7,Detail!G$26:G$82)</f>
        <v>9</v>
      </c>
      <c r="C49" s="43">
        <f>B49/$B$55</f>
        <v>0.21951219512195122</v>
      </c>
      <c r="D49" s="33">
        <f>SUMIF(Detail!F$26:F$82,Detail!F7,Detail!T$26:T$82)</f>
        <v>835</v>
      </c>
      <c r="E49" s="43">
        <f t="shared" ref="E49:E54" si="7">D49/D$55</f>
        <v>0.21643338517366512</v>
      </c>
      <c r="F49" s="130">
        <f>SUMIF(Detail!F$26:F$82,Detail!F7,Detail!AB$26:AB$82)</f>
        <v>140125000</v>
      </c>
      <c r="G49" s="44">
        <f t="shared" ref="G49:G54" si="8">F49/F$55</f>
        <v>0.18879951972581963</v>
      </c>
    </row>
    <row r="50" spans="1:8" s="30" customFormat="1" ht="17">
      <c r="A50" s="40" t="s">
        <v>54</v>
      </c>
      <c r="B50" s="32">
        <f>SUMIF(Detail!F$26:F$82,Detail!F4,Detail!G$26:G$82)</f>
        <v>20</v>
      </c>
      <c r="C50" s="43">
        <f>B50/$B$55</f>
        <v>0.48780487804878048</v>
      </c>
      <c r="D50" s="33">
        <f>SUMIF(Detail!F$26:F$82,Detail!F4,Detail!T$26:T$82)</f>
        <v>1762</v>
      </c>
      <c r="E50" s="43">
        <f t="shared" si="7"/>
        <v>0.45671332296526695</v>
      </c>
      <c r="F50" s="130">
        <f>SUMIF(Detail!F$26:F$82,Detail!F4,Detail!AB$26:AB$82)</f>
        <v>332812215</v>
      </c>
      <c r="G50" s="44">
        <f t="shared" si="8"/>
        <v>0.44841952792782319</v>
      </c>
    </row>
    <row r="51" spans="1:8" s="30" customFormat="1" ht="17">
      <c r="A51" s="40" t="s">
        <v>112</v>
      </c>
      <c r="B51" s="32">
        <f>SUMIF(Detail!F$26:F$82,Detail!F3,Detail!G$26:G$82)</f>
        <v>4</v>
      </c>
      <c r="C51" s="43">
        <f t="shared" ref="C51:C54" si="9">B51/$B$55</f>
        <v>9.7560975609756101E-2</v>
      </c>
      <c r="D51" s="33">
        <f>SUMIF(Detail!F$26:F$82,Detail!F3,Detail!T$26:T$82)</f>
        <v>361</v>
      </c>
      <c r="E51" s="43">
        <f t="shared" si="7"/>
        <v>9.3571798859512695E-2</v>
      </c>
      <c r="F51" s="130">
        <f>SUMIF(Detail!F$26:F$82,Detail!F3,Detail!AB$26:AB$82)</f>
        <v>85100000</v>
      </c>
      <c r="G51" s="44">
        <f t="shared" si="8"/>
        <v>0.11466076095391436</v>
      </c>
    </row>
    <row r="52" spans="1:8" s="30" customFormat="1" ht="17">
      <c r="A52" s="40" t="s">
        <v>116</v>
      </c>
      <c r="B52" s="32">
        <f>SUMIF(Detail!F$26:F$82,Detail!F2,Detail!G$26:G$82)</f>
        <v>2</v>
      </c>
      <c r="C52" s="43">
        <f t="shared" si="9"/>
        <v>4.878048780487805E-2</v>
      </c>
      <c r="D52" s="33">
        <f>SUMIF(Detail!F$26:F$82,Detail!F2,Detail!T$26:T$82)</f>
        <v>280</v>
      </c>
      <c r="E52" s="43">
        <f t="shared" si="7"/>
        <v>7.257646448937273E-2</v>
      </c>
      <c r="F52" s="130">
        <f>SUMIF(Detail!F$26:F$82,Detail!F2,Detail!AB$26:AB$82)</f>
        <v>51536151</v>
      </c>
      <c r="G52" s="44">
        <f t="shared" si="8"/>
        <v>6.943800576140817E-2</v>
      </c>
      <c r="H52" s="45"/>
    </row>
    <row r="53" spans="1:8" s="30" customFormat="1" ht="17">
      <c r="A53" s="40" t="s">
        <v>229</v>
      </c>
      <c r="B53" s="32">
        <f>SUMIF(Detail!F$26:F$82,Detail!F5,Detail!G$26:G$82)</f>
        <v>1</v>
      </c>
      <c r="C53" s="43">
        <f t="shared" si="9"/>
        <v>2.4390243902439025E-2</v>
      </c>
      <c r="D53" s="33">
        <f>SUMIF(Detail!F$26:F$82,Detail!F5,Detail!T$26:T$82)</f>
        <v>231</v>
      </c>
      <c r="E53" s="43">
        <f t="shared" si="7"/>
        <v>5.9875583203732506E-2</v>
      </c>
      <c r="F53" s="130">
        <f>SUMIF(Detail!F$26:F$82,Detail!F5,Detail!AB$26:AB$82)</f>
        <v>53000000</v>
      </c>
      <c r="G53" s="44">
        <f t="shared" si="8"/>
        <v>7.1410344659899663E-2</v>
      </c>
    </row>
    <row r="54" spans="1:8" s="30" customFormat="1" ht="18" thickBot="1">
      <c r="A54" s="40" t="s">
        <v>230</v>
      </c>
      <c r="B54" s="32">
        <f>SUMIF(Detail!F$26:F$82,Detail!F6,Detail!G$26:G$82)</f>
        <v>5</v>
      </c>
      <c r="C54" s="43">
        <f t="shared" si="9"/>
        <v>0.12195121951219512</v>
      </c>
      <c r="D54" s="33">
        <f>SUMIF(Detail!F$26:F$82,Detail!F6,Detail!T$26:T$82)</f>
        <v>389</v>
      </c>
      <c r="E54" s="43">
        <f t="shared" si="7"/>
        <v>0.10082944530844998</v>
      </c>
      <c r="F54" s="130">
        <f>SUMIF(Detail!F$26:F$82,Detail!F6,Detail!AB$26:AB$82)</f>
        <v>79616022</v>
      </c>
      <c r="G54" s="44">
        <f t="shared" si="8"/>
        <v>0.10727184097113499</v>
      </c>
    </row>
    <row r="55" spans="1:8" s="30" customFormat="1" ht="21" customHeight="1" thickBot="1">
      <c r="A55" s="35" t="s">
        <v>12</v>
      </c>
      <c r="B55" s="36">
        <f t="shared" ref="B55:G55" si="10">SUM(B49:B54)</f>
        <v>41</v>
      </c>
      <c r="C55" s="54">
        <f t="shared" si="10"/>
        <v>1</v>
      </c>
      <c r="D55" s="37">
        <f t="shared" si="10"/>
        <v>3858</v>
      </c>
      <c r="E55" s="54">
        <f t="shared" si="10"/>
        <v>1</v>
      </c>
      <c r="F55" s="131">
        <f t="shared" si="10"/>
        <v>742189388</v>
      </c>
      <c r="G55" s="57">
        <f t="shared" si="10"/>
        <v>0.99999999999999989</v>
      </c>
    </row>
    <row r="56" spans="1:8" s="30" customFormat="1">
      <c r="C56" s="45"/>
      <c r="E56" s="45"/>
      <c r="G56" s="45"/>
    </row>
    <row r="57" spans="1:8" s="30" customFormat="1">
      <c r="C57" s="45"/>
      <c r="E57" s="45"/>
      <c r="G57" s="45"/>
    </row>
    <row r="58" spans="1:8" s="30" customFormat="1">
      <c r="C58" s="45"/>
      <c r="E58" s="45"/>
      <c r="G58" s="45"/>
    </row>
    <row r="59" spans="1:8" s="30" customFormat="1">
      <c r="C59" s="45"/>
      <c r="E59" s="45"/>
      <c r="G59" s="45"/>
    </row>
    <row r="60" spans="1:8" s="30" customFormat="1" ht="17" thickBot="1">
      <c r="C60" s="45"/>
      <c r="E60" s="45"/>
      <c r="G60" s="45"/>
    </row>
    <row r="61" spans="1:8" s="59" customFormat="1" ht="19">
      <c r="A61" s="750" t="s">
        <v>238</v>
      </c>
      <c r="B61" s="751"/>
      <c r="C61" s="751"/>
      <c r="D61" s="751"/>
      <c r="E61" s="751"/>
      <c r="F61" s="751"/>
      <c r="G61" s="752"/>
    </row>
    <row r="62" spans="1:8" s="30" customFormat="1" ht="51">
      <c r="A62" s="138" t="s">
        <v>145</v>
      </c>
      <c r="B62" s="29" t="s">
        <v>144</v>
      </c>
      <c r="C62" s="53" t="s">
        <v>33</v>
      </c>
      <c r="D62" s="29" t="s">
        <v>42</v>
      </c>
      <c r="E62" s="53" t="s">
        <v>33</v>
      </c>
      <c r="F62" s="29" t="s">
        <v>233</v>
      </c>
      <c r="G62" s="56" t="s">
        <v>232</v>
      </c>
    </row>
    <row r="63" spans="1:8" s="30" customFormat="1">
      <c r="A63" s="173">
        <v>2011</v>
      </c>
      <c r="B63" s="32">
        <f>SUMIF(Detail!O$26:O$82,Detail!O2,Detail!G$26:G$82)</f>
        <v>2</v>
      </c>
      <c r="C63" s="43">
        <f t="shared" ref="C63:C70" si="11">B63/B$71</f>
        <v>6.25E-2</v>
      </c>
      <c r="D63" s="33">
        <f>SUMIF(Detail!O$26:O$82,Detail!O2,Detail!T$26:T$82)</f>
        <v>280</v>
      </c>
      <c r="E63" s="43">
        <f t="shared" ref="E63:E70" si="12">D63/D$71</f>
        <v>8.9058524173027995E-2</v>
      </c>
      <c r="F63" s="34">
        <f>SUMIF(Detail!O$26:O$82,Detail!O2,Detail!AB$26:AB$82)</f>
        <v>51536151</v>
      </c>
      <c r="G63" s="132">
        <f>Detail!AR$83</f>
        <v>1404313</v>
      </c>
    </row>
    <row r="64" spans="1:8" s="30" customFormat="1">
      <c r="A64" s="173">
        <v>2012</v>
      </c>
      <c r="B64" s="32">
        <f>SUMIF(Detail!O$26:O$82,Detail!O3,Detail!G$26:G$82)</f>
        <v>4</v>
      </c>
      <c r="C64" s="43">
        <f t="shared" si="11"/>
        <v>0.125</v>
      </c>
      <c r="D64" s="33">
        <f>SUMIF(Detail!O$26:O$82,Detail!O3,Detail!T$26:T$82)</f>
        <v>820</v>
      </c>
      <c r="E64" s="43">
        <f t="shared" si="12"/>
        <v>0.26081424936386771</v>
      </c>
      <c r="F64" s="34">
        <f>SUMIF(Detail!O$26:O$82,Detail!O3,Detail!AB$26:AB$82)</f>
        <v>161652605</v>
      </c>
      <c r="G64" s="132">
        <f>Detail!BG$83</f>
        <v>2887333.8</v>
      </c>
    </row>
    <row r="65" spans="1:7" s="30" customFormat="1">
      <c r="A65" s="173">
        <v>2013</v>
      </c>
      <c r="B65" s="32">
        <f>SUMIF(Detail!O$26:O$82,Detail!O4,Detail!G$26:G$82)</f>
        <v>10</v>
      </c>
      <c r="C65" s="43">
        <f t="shared" si="11"/>
        <v>0.3125</v>
      </c>
      <c r="D65" s="33">
        <f>SUMIF(Detail!O$26:O$82,Detail!O4,Detail!T$26:T$82)</f>
        <v>1120</v>
      </c>
      <c r="E65" s="43">
        <f t="shared" si="12"/>
        <v>0.35623409669211198</v>
      </c>
      <c r="F65" s="34">
        <f>SUMIF(Detail!O$26:O$82,Detail!O4,Detail!AB$26:AB$82)</f>
        <v>222700060</v>
      </c>
      <c r="G65" s="132">
        <f>Detail!BH83</f>
        <v>4552852.5</v>
      </c>
    </row>
    <row r="66" spans="1:7" s="30" customFormat="1">
      <c r="A66" s="173">
        <v>2014</v>
      </c>
      <c r="B66" s="32">
        <f>SUMIF(Detail!O$26:O$82,Detail!O5,Detail!G$26:G$82)</f>
        <v>8</v>
      </c>
      <c r="C66" s="43">
        <f t="shared" si="11"/>
        <v>0.25</v>
      </c>
      <c r="D66" s="33">
        <f>SUMIF(Detail!O$26:O$82,Detail!O5,Detail!T$26:T$82)</f>
        <v>605</v>
      </c>
      <c r="E66" s="43">
        <f t="shared" si="12"/>
        <v>0.19243002544529261</v>
      </c>
      <c r="F66" s="34">
        <f>SUMIF(Detail!O$26:O$82,Detail!O5,Detail!AB$26:AB$82)</f>
        <v>84100000</v>
      </c>
      <c r="G66" s="132">
        <f>Detail!BI83</f>
        <v>5563908.875</v>
      </c>
    </row>
    <row r="67" spans="1:7" s="30" customFormat="1">
      <c r="A67" s="173">
        <v>2015</v>
      </c>
      <c r="B67" s="32">
        <f>SUMIF(Detail!O$26:O$82,Detail!O6,Detail!G$26:G$82)</f>
        <v>5</v>
      </c>
      <c r="C67" s="43">
        <f t="shared" si="11"/>
        <v>0.15625</v>
      </c>
      <c r="D67" s="33">
        <f>SUMIF(Detail!O$26:O$82,Detail!O6,Detail!T$26:T$82)</f>
        <v>170</v>
      </c>
      <c r="E67" s="43">
        <f t="shared" si="12"/>
        <v>5.407124681933842E-2</v>
      </c>
      <c r="F67" s="34">
        <f>SUMIF(Detail!O$26:O$82,Detail!O6,Detail!AB$26:AB$82)</f>
        <v>35809550</v>
      </c>
      <c r="G67" s="132">
        <f>Detail!BJ83</f>
        <v>6955262.875</v>
      </c>
    </row>
    <row r="68" spans="1:7" s="30" customFormat="1">
      <c r="A68" s="173">
        <v>2016</v>
      </c>
      <c r="B68" s="32">
        <f>SUMIF(Detail!O$26:O$82,Detail!O7,Detail!G$26:G$82)</f>
        <v>3</v>
      </c>
      <c r="C68" s="43">
        <f t="shared" si="11"/>
        <v>9.375E-2</v>
      </c>
      <c r="D68" s="33">
        <f>SUMIF(Detail!O$26:O$82,Detail!O7,Detail!T$26:T$82)</f>
        <v>149</v>
      </c>
      <c r="E68" s="43">
        <f t="shared" si="12"/>
        <v>4.7391857506361323E-2</v>
      </c>
      <c r="F68" s="34">
        <f>SUMIF(Detail!O$26:O$82,Detail!O7,Detail!AB$26:AB$82)</f>
        <v>34975000</v>
      </c>
      <c r="G68" s="132">
        <f>Detail!BK83</f>
        <v>6014058.75</v>
      </c>
    </row>
    <row r="69" spans="1:7" s="30" customFormat="1">
      <c r="A69" s="173">
        <v>2017</v>
      </c>
      <c r="B69" s="32">
        <f>SUMIF(Detail!O$26:O$82,Detail!O8,Detail!G$26:G$82)</f>
        <v>0</v>
      </c>
      <c r="C69" s="43">
        <f t="shared" si="11"/>
        <v>0</v>
      </c>
      <c r="D69" s="33">
        <f>SUMIF(Detail!O$26:O$82,Detail!O8,Detail!T$26:T$82)</f>
        <v>0</v>
      </c>
      <c r="E69" s="43">
        <f t="shared" si="12"/>
        <v>0</v>
      </c>
      <c r="F69" s="34">
        <f>SUMIF(Detail!O$26:O$82,Detail!O8,Detail!AB$26:AB$82)</f>
        <v>0</v>
      </c>
      <c r="G69" s="132">
        <f>Detail!BL83</f>
        <v>3382147</v>
      </c>
    </row>
    <row r="70" spans="1:7" s="30" customFormat="1" ht="17" thickBot="1">
      <c r="A70" s="173">
        <v>2018</v>
      </c>
      <c r="B70" s="32">
        <f>SUMIF(Detail!O$26:O$82,Detail!O9,Detail!G$26:G$82)</f>
        <v>0</v>
      </c>
      <c r="C70" s="43">
        <f t="shared" si="11"/>
        <v>0</v>
      </c>
      <c r="D70" s="33">
        <f>SUMIF(Detail!O$26:O$82,Detail!O9,Detail!T$26:T$82)</f>
        <v>0</v>
      </c>
      <c r="E70" s="43">
        <f t="shared" si="12"/>
        <v>0</v>
      </c>
      <c r="F70" s="34">
        <f>SUMIF(Detail!O$26:O$82,Detail!O9,Detail!AB$26:AB$82)</f>
        <v>0</v>
      </c>
      <c r="G70" s="132">
        <f>Detail!BM83</f>
        <v>1916013.5</v>
      </c>
    </row>
    <row r="71" spans="1:7" s="30" customFormat="1" ht="18.75" customHeight="1" thickBot="1">
      <c r="A71" s="35" t="s">
        <v>35</v>
      </c>
      <c r="B71" s="36">
        <f t="shared" ref="B71:G71" si="13">SUM(B63:B70)</f>
        <v>32</v>
      </c>
      <c r="C71" s="54">
        <f t="shared" si="13"/>
        <v>1</v>
      </c>
      <c r="D71" s="37">
        <f t="shared" si="13"/>
        <v>3144</v>
      </c>
      <c r="E71" s="54">
        <f t="shared" si="13"/>
        <v>1</v>
      </c>
      <c r="F71" s="38">
        <f t="shared" si="13"/>
        <v>590773366</v>
      </c>
      <c r="G71" s="133">
        <f t="shared" si="13"/>
        <v>32675890.300000001</v>
      </c>
    </row>
    <row r="72" spans="1:7" s="30" customFormat="1">
      <c r="A72" s="49" t="s">
        <v>150</v>
      </c>
      <c r="C72" s="45"/>
      <c r="E72" s="45"/>
      <c r="G72" s="45"/>
    </row>
    <row r="73" spans="1:7" s="30" customFormat="1" ht="15" customHeight="1">
      <c r="A73" s="49" t="s">
        <v>239</v>
      </c>
      <c r="C73" s="45"/>
      <c r="E73" s="45"/>
      <c r="G73" s="45"/>
    </row>
    <row r="74" spans="1:7" s="30" customFormat="1" ht="15" customHeight="1">
      <c r="C74" s="45"/>
      <c r="E74" s="45"/>
      <c r="G74" s="45"/>
    </row>
  </sheetData>
  <mergeCells count="5">
    <mergeCell ref="A3:G3"/>
    <mergeCell ref="A15:G15"/>
    <mergeCell ref="A34:G34"/>
    <mergeCell ref="A47:G47"/>
    <mergeCell ref="A61:G61"/>
  </mergeCells>
  <printOptions horizontalCentered="1"/>
  <pageMargins left="0.2" right="0.2" top="0.38" bottom="0.34" header="0.17" footer="0.16"/>
  <pageSetup scale="85" orientation="landscape" r:id="rId1"/>
  <headerFooter>
    <oddHeader>&amp;C&amp;"-,Bold"&amp;14MERCY HOUSING LAKEFRONT - ALL PROJECTS</oddHeader>
    <oddFooter>&amp;C&amp;D</oddFooter>
  </headerFooter>
  <rowBreaks count="1" manualBreakCount="1">
    <brk id="4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2:P21"/>
  <sheetViews>
    <sheetView workbookViewId="0">
      <selection activeCell="H11" sqref="H11"/>
    </sheetView>
  </sheetViews>
  <sheetFormatPr baseColWidth="10" defaultColWidth="9.1640625" defaultRowHeight="14"/>
  <cols>
    <col min="1" max="1" width="40.33203125" style="179" customWidth="1"/>
    <col min="2" max="13" width="9.1640625" style="179"/>
    <col min="14" max="14" width="10.33203125" style="179" customWidth="1"/>
    <col min="15" max="15" width="10.5" style="184" bestFit="1" customWidth="1"/>
    <col min="16" max="16" width="10.1640625" style="179" customWidth="1"/>
    <col min="17" max="16384" width="9.1640625" style="179"/>
  </cols>
  <sheetData>
    <row r="2" spans="1:16" ht="25.5" customHeight="1">
      <c r="A2" s="374" t="s">
        <v>558</v>
      </c>
      <c r="B2" s="375" t="s">
        <v>330</v>
      </c>
      <c r="C2" s="375" t="s">
        <v>331</v>
      </c>
      <c r="D2" s="375" t="s">
        <v>332</v>
      </c>
      <c r="E2" s="375" t="s">
        <v>333</v>
      </c>
      <c r="F2" s="375" t="s">
        <v>334</v>
      </c>
      <c r="G2" s="375" t="s">
        <v>335</v>
      </c>
      <c r="H2" s="375" t="s">
        <v>336</v>
      </c>
      <c r="I2" s="375" t="s">
        <v>337</v>
      </c>
      <c r="J2" s="375" t="s">
        <v>338</v>
      </c>
      <c r="K2" s="375" t="s">
        <v>339</v>
      </c>
      <c r="L2" s="375" t="s">
        <v>340</v>
      </c>
      <c r="M2" s="375" t="s">
        <v>341</v>
      </c>
      <c r="N2" s="376" t="s">
        <v>557</v>
      </c>
      <c r="O2" s="376" t="s">
        <v>559</v>
      </c>
      <c r="P2" s="376" t="s">
        <v>556</v>
      </c>
    </row>
    <row r="4" spans="1:16">
      <c r="A4" s="377" t="s">
        <v>548</v>
      </c>
      <c r="B4" s="378"/>
      <c r="C4" s="378"/>
      <c r="D4" s="378">
        <v>0</v>
      </c>
      <c r="E4" s="378"/>
      <c r="F4" s="378"/>
      <c r="G4" s="378"/>
      <c r="H4" s="378"/>
      <c r="I4" s="378"/>
      <c r="J4" s="378"/>
      <c r="K4" s="378">
        <v>500000</v>
      </c>
      <c r="L4" s="378"/>
      <c r="M4" s="378"/>
      <c r="N4" s="378">
        <v>500000</v>
      </c>
      <c r="O4" s="379">
        <v>0.5</v>
      </c>
      <c r="P4" s="378">
        <v>250000</v>
      </c>
    </row>
    <row r="5" spans="1:16">
      <c r="A5" s="377" t="s">
        <v>322</v>
      </c>
      <c r="B5" s="378"/>
      <c r="C5" s="378"/>
      <c r="D5" s="378"/>
      <c r="E5" s="378">
        <v>540000</v>
      </c>
      <c r="F5" s="378"/>
      <c r="G5" s="378"/>
      <c r="H5" s="378"/>
      <c r="I5" s="378"/>
      <c r="J5" s="378"/>
      <c r="K5" s="378"/>
      <c r="L5" s="378"/>
      <c r="M5" s="378"/>
      <c r="N5" s="378">
        <v>540000</v>
      </c>
      <c r="O5" s="379">
        <v>0</v>
      </c>
      <c r="P5" s="378">
        <v>540000</v>
      </c>
    </row>
    <row r="6" spans="1:16">
      <c r="A6" s="377" t="s">
        <v>549</v>
      </c>
      <c r="B6" s="378"/>
      <c r="C6" s="378"/>
      <c r="D6" s="378"/>
      <c r="E6" s="378"/>
      <c r="F6" s="378"/>
      <c r="G6" s="378"/>
      <c r="H6" s="378"/>
      <c r="I6" s="378"/>
      <c r="J6" s="378"/>
      <c r="K6" s="378"/>
      <c r="L6" s="378"/>
      <c r="M6" s="378"/>
      <c r="N6" s="378">
        <v>0</v>
      </c>
      <c r="O6" s="379">
        <v>0</v>
      </c>
      <c r="P6" s="378">
        <v>0</v>
      </c>
    </row>
    <row r="7" spans="1:16">
      <c r="A7" s="377" t="s">
        <v>550</v>
      </c>
      <c r="B7" s="378"/>
      <c r="C7" s="378"/>
      <c r="D7" s="378"/>
      <c r="E7" s="378"/>
      <c r="F7" s="378"/>
      <c r="G7" s="378"/>
      <c r="H7" s="378"/>
      <c r="I7" s="378"/>
      <c r="J7" s="378">
        <v>310000</v>
      </c>
      <c r="K7" s="378"/>
      <c r="L7" s="378"/>
      <c r="M7" s="378"/>
      <c r="N7" s="378">
        <v>310000</v>
      </c>
      <c r="O7" s="379">
        <v>0</v>
      </c>
      <c r="P7" s="378">
        <v>310000</v>
      </c>
    </row>
    <row r="8" spans="1:16">
      <c r="A8" s="377" t="s">
        <v>113</v>
      </c>
      <c r="B8" s="378"/>
      <c r="C8" s="378"/>
      <c r="D8" s="378"/>
      <c r="E8" s="378"/>
      <c r="F8" s="378"/>
      <c r="G8" s="378">
        <v>310000</v>
      </c>
      <c r="H8" s="378"/>
      <c r="I8" s="378"/>
      <c r="J8" s="378"/>
      <c r="K8" s="378"/>
      <c r="L8" s="378"/>
      <c r="M8" s="378"/>
      <c r="N8" s="378">
        <v>310000</v>
      </c>
      <c r="O8" s="379">
        <v>0</v>
      </c>
      <c r="P8" s="378">
        <v>310000</v>
      </c>
    </row>
    <row r="9" spans="1:16">
      <c r="A9" s="377" t="s">
        <v>11</v>
      </c>
      <c r="B9" s="378"/>
      <c r="C9" s="378"/>
      <c r="D9" s="378"/>
      <c r="E9" s="378"/>
      <c r="F9" s="378"/>
      <c r="G9" s="378"/>
      <c r="H9" s="378"/>
      <c r="I9" s="378"/>
      <c r="J9" s="378"/>
      <c r="K9" s="378"/>
      <c r="L9" s="378"/>
      <c r="M9" s="378"/>
      <c r="N9" s="378">
        <v>0</v>
      </c>
      <c r="O9" s="379">
        <v>0</v>
      </c>
      <c r="P9" s="378">
        <v>0</v>
      </c>
    </row>
    <row r="10" spans="1:16">
      <c r="A10" s="377" t="s">
        <v>51</v>
      </c>
      <c r="B10" s="378"/>
      <c r="C10" s="378"/>
      <c r="D10" s="378"/>
      <c r="E10" s="378">
        <v>125000</v>
      </c>
      <c r="F10" s="378">
        <v>42000</v>
      </c>
      <c r="G10" s="378"/>
      <c r="H10" s="378"/>
      <c r="I10" s="378"/>
      <c r="J10" s="378"/>
      <c r="K10" s="378"/>
      <c r="L10" s="378"/>
      <c r="M10" s="378"/>
      <c r="N10" s="378">
        <v>167000</v>
      </c>
      <c r="O10" s="379">
        <v>0</v>
      </c>
      <c r="P10" s="378">
        <v>167000</v>
      </c>
    </row>
    <row r="11" spans="1:16">
      <c r="A11" s="377" t="s">
        <v>314</v>
      </c>
      <c r="B11" s="378"/>
      <c r="C11" s="378"/>
      <c r="D11" s="378"/>
      <c r="E11" s="378"/>
      <c r="F11" s="378"/>
      <c r="G11" s="378"/>
      <c r="H11" s="378">
        <v>750000</v>
      </c>
      <c r="I11" s="378"/>
      <c r="J11" s="378"/>
      <c r="K11" s="378"/>
      <c r="L11" s="378"/>
      <c r="M11" s="378"/>
      <c r="N11" s="378">
        <v>750000</v>
      </c>
      <c r="O11" s="379">
        <v>0.5</v>
      </c>
      <c r="P11" s="378">
        <v>375000</v>
      </c>
    </row>
    <row r="12" spans="1:16">
      <c r="A12" s="377" t="s">
        <v>551</v>
      </c>
      <c r="B12" s="378"/>
      <c r="C12" s="378"/>
      <c r="D12" s="378"/>
      <c r="E12" s="378"/>
      <c r="F12" s="378"/>
      <c r="G12" s="378"/>
      <c r="H12" s="378"/>
      <c r="I12" s="378"/>
      <c r="J12" s="378"/>
      <c r="K12" s="378"/>
      <c r="L12" s="378"/>
      <c r="M12" s="378"/>
      <c r="N12" s="378">
        <v>0</v>
      </c>
      <c r="O12" s="379">
        <v>0</v>
      </c>
      <c r="P12" s="378">
        <v>0</v>
      </c>
    </row>
    <row r="13" spans="1:16">
      <c r="A13" s="377" t="s">
        <v>114</v>
      </c>
      <c r="B13" s="378"/>
      <c r="C13" s="378"/>
      <c r="D13" s="378"/>
      <c r="E13" s="378"/>
      <c r="F13" s="378"/>
      <c r="G13" s="378"/>
      <c r="H13" s="378"/>
      <c r="I13" s="378"/>
      <c r="J13" s="378"/>
      <c r="K13" s="378"/>
      <c r="L13" s="378"/>
      <c r="M13" s="378"/>
      <c r="N13" s="378">
        <v>0</v>
      </c>
      <c r="O13" s="379">
        <v>0</v>
      </c>
      <c r="P13" s="378">
        <v>0</v>
      </c>
    </row>
    <row r="14" spans="1:16">
      <c r="A14" s="377" t="s">
        <v>552</v>
      </c>
      <c r="B14" s="378"/>
      <c r="C14" s="378"/>
      <c r="D14" s="378"/>
      <c r="E14" s="378"/>
      <c r="F14" s="378"/>
      <c r="G14" s="378"/>
      <c r="H14" s="378"/>
      <c r="I14" s="378"/>
      <c r="J14" s="378"/>
      <c r="K14" s="378"/>
      <c r="L14" s="378"/>
      <c r="M14" s="378"/>
      <c r="N14" s="378">
        <v>0</v>
      </c>
      <c r="O14" s="379">
        <v>0</v>
      </c>
      <c r="P14" s="378">
        <v>0</v>
      </c>
    </row>
    <row r="15" spans="1:16">
      <c r="A15" s="377" t="s">
        <v>553</v>
      </c>
      <c r="B15" s="378"/>
      <c r="C15" s="378"/>
      <c r="D15" s="378"/>
      <c r="E15" s="378"/>
      <c r="F15" s="378"/>
      <c r="G15" s="378"/>
      <c r="H15" s="378"/>
      <c r="I15" s="378"/>
      <c r="J15" s="378"/>
      <c r="K15" s="378"/>
      <c r="L15" s="378"/>
      <c r="M15" s="378"/>
      <c r="N15" s="378">
        <v>0</v>
      </c>
      <c r="O15" s="379">
        <v>0</v>
      </c>
      <c r="P15" s="378">
        <v>0</v>
      </c>
    </row>
    <row r="16" spans="1:16">
      <c r="A16" s="377" t="s">
        <v>117</v>
      </c>
      <c r="B16" s="378"/>
      <c r="C16" s="378"/>
      <c r="D16" s="378"/>
      <c r="E16" s="378"/>
      <c r="F16" s="378"/>
      <c r="G16" s="378"/>
      <c r="H16" s="378">
        <v>750000</v>
      </c>
      <c r="I16" s="378"/>
      <c r="J16" s="378"/>
      <c r="K16" s="378"/>
      <c r="L16" s="378"/>
      <c r="M16" s="378"/>
      <c r="N16" s="378">
        <v>750000</v>
      </c>
      <c r="O16" s="379">
        <v>0</v>
      </c>
      <c r="P16" s="378">
        <v>750000</v>
      </c>
    </row>
    <row r="17" spans="1:16">
      <c r="A17" s="377" t="s">
        <v>554</v>
      </c>
      <c r="B17" s="378"/>
      <c r="C17" s="378"/>
      <c r="D17" s="378"/>
      <c r="E17" s="378"/>
      <c r="F17" s="378"/>
      <c r="G17" s="378"/>
      <c r="H17" s="378"/>
      <c r="I17" s="378"/>
      <c r="J17" s="378"/>
      <c r="K17" s="378"/>
      <c r="L17" s="378"/>
      <c r="M17" s="378">
        <v>333333.33333333331</v>
      </c>
      <c r="N17" s="378">
        <v>333333.33333333331</v>
      </c>
      <c r="O17" s="379">
        <v>0.5</v>
      </c>
      <c r="P17" s="378">
        <v>166666.66666666666</v>
      </c>
    </row>
    <row r="18" spans="1:16">
      <c r="A18" s="377" t="s">
        <v>555</v>
      </c>
      <c r="B18" s="378"/>
      <c r="C18" s="378"/>
      <c r="D18" s="378"/>
      <c r="E18" s="378"/>
      <c r="F18" s="378"/>
      <c r="G18" s="378"/>
      <c r="H18" s="378"/>
      <c r="I18" s="378"/>
      <c r="J18" s="378"/>
      <c r="K18" s="378"/>
      <c r="L18" s="378"/>
      <c r="M18" s="378"/>
      <c r="N18" s="378">
        <v>0</v>
      </c>
      <c r="O18" s="379"/>
      <c r="P18" s="378">
        <v>0</v>
      </c>
    </row>
    <row r="19" spans="1:16">
      <c r="A19" s="377" t="s">
        <v>106</v>
      </c>
      <c r="B19" s="378"/>
      <c r="C19" s="378"/>
      <c r="D19" s="378"/>
      <c r="E19" s="378"/>
      <c r="F19" s="378"/>
      <c r="G19" s="378"/>
      <c r="H19" s="378"/>
      <c r="I19" s="378"/>
      <c r="J19" s="378"/>
      <c r="K19" s="378"/>
      <c r="L19" s="378"/>
      <c r="M19" s="378">
        <v>420000</v>
      </c>
      <c r="N19" s="378">
        <v>420000</v>
      </c>
      <c r="O19" s="379">
        <v>0.5</v>
      </c>
      <c r="P19" s="378">
        <v>210000</v>
      </c>
    </row>
    <row r="21" spans="1:16">
      <c r="A21" s="380" t="s">
        <v>35</v>
      </c>
      <c r="B21" s="381">
        <f>SUM(B4:B19)</f>
        <v>0</v>
      </c>
      <c r="C21" s="381">
        <f t="shared" ref="C21:P21" si="0">SUM(C4:C19)</f>
        <v>0</v>
      </c>
      <c r="D21" s="381">
        <f t="shared" si="0"/>
        <v>0</v>
      </c>
      <c r="E21" s="381">
        <f t="shared" si="0"/>
        <v>665000</v>
      </c>
      <c r="F21" s="381">
        <f t="shared" si="0"/>
        <v>42000</v>
      </c>
      <c r="G21" s="381">
        <f t="shared" si="0"/>
        <v>310000</v>
      </c>
      <c r="H21" s="381">
        <f t="shared" si="0"/>
        <v>1500000</v>
      </c>
      <c r="I21" s="381">
        <f t="shared" si="0"/>
        <v>0</v>
      </c>
      <c r="J21" s="381">
        <f t="shared" si="0"/>
        <v>310000</v>
      </c>
      <c r="K21" s="381">
        <f t="shared" si="0"/>
        <v>500000</v>
      </c>
      <c r="L21" s="381">
        <f t="shared" si="0"/>
        <v>0</v>
      </c>
      <c r="M21" s="381">
        <f t="shared" si="0"/>
        <v>753333.33333333326</v>
      </c>
      <c r="N21" s="381">
        <f t="shared" si="0"/>
        <v>4080333.3333333335</v>
      </c>
      <c r="O21" s="381"/>
      <c r="P21" s="381">
        <f t="shared" si="0"/>
        <v>3078666.6666666665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U23"/>
  <sheetViews>
    <sheetView workbookViewId="0">
      <selection activeCell="L12" sqref="L12"/>
    </sheetView>
  </sheetViews>
  <sheetFormatPr baseColWidth="10" defaultColWidth="9.1640625" defaultRowHeight="12"/>
  <cols>
    <col min="1" max="1" width="22.1640625" style="382" customWidth="1"/>
    <col min="2" max="2" width="8.6640625" style="382" bestFit="1" customWidth="1"/>
    <col min="3" max="3" width="7.5" style="382" bestFit="1" customWidth="1"/>
    <col min="4" max="4" width="8.6640625" style="382" bestFit="1" customWidth="1"/>
    <col min="5" max="5" width="7.5" style="384" bestFit="1" customWidth="1"/>
    <col min="6" max="6" width="8.83203125" style="382" bestFit="1" customWidth="1"/>
    <col min="7" max="7" width="7.5" style="382" bestFit="1" customWidth="1"/>
    <col min="8" max="8" width="8.83203125" style="382" bestFit="1" customWidth="1"/>
    <col min="9" max="9" width="7.83203125" style="382" bestFit="1" customWidth="1"/>
    <col min="10" max="10" width="9" style="382" bestFit="1" customWidth="1"/>
    <col min="11" max="11" width="7.5" style="382" bestFit="1" customWidth="1"/>
    <col min="12" max="12" width="8.83203125" style="382" bestFit="1" customWidth="1"/>
    <col min="13" max="13" width="7.83203125" style="382" bestFit="1" customWidth="1"/>
    <col min="14" max="14" width="9.33203125" style="382" bestFit="1" customWidth="1"/>
    <col min="15" max="15" width="9.1640625" style="382"/>
    <col min="16" max="16" width="9.33203125" style="382" bestFit="1" customWidth="1"/>
    <col min="17" max="16384" width="9.1640625" style="382"/>
  </cols>
  <sheetData>
    <row r="1" spans="1:21">
      <c r="A1" s="433"/>
      <c r="B1" s="753" t="s">
        <v>562</v>
      </c>
      <c r="C1" s="754"/>
      <c r="D1" s="754"/>
      <c r="E1" s="755"/>
      <c r="F1" s="753" t="s">
        <v>568</v>
      </c>
      <c r="G1" s="754"/>
      <c r="H1" s="754"/>
      <c r="I1" s="755"/>
      <c r="J1" s="753" t="s">
        <v>571</v>
      </c>
      <c r="K1" s="754"/>
      <c r="L1" s="754"/>
      <c r="M1" s="755"/>
      <c r="N1" s="753" t="s">
        <v>583</v>
      </c>
      <c r="O1" s="754"/>
      <c r="P1" s="754"/>
      <c r="Q1" s="755"/>
      <c r="R1" s="753" t="s">
        <v>600</v>
      </c>
      <c r="S1" s="754"/>
      <c r="T1" s="754"/>
      <c r="U1" s="755"/>
    </row>
    <row r="2" spans="1:21" ht="13">
      <c r="A2" s="434" t="s">
        <v>558</v>
      </c>
      <c r="B2" s="435" t="s">
        <v>563</v>
      </c>
      <c r="C2" s="436" t="s">
        <v>564</v>
      </c>
      <c r="D2" s="436" t="s">
        <v>565</v>
      </c>
      <c r="E2" s="437" t="s">
        <v>566</v>
      </c>
      <c r="F2" s="435" t="s">
        <v>563</v>
      </c>
      <c r="G2" s="436" t="s">
        <v>564</v>
      </c>
      <c r="H2" s="436" t="s">
        <v>565</v>
      </c>
      <c r="I2" s="437" t="s">
        <v>566</v>
      </c>
      <c r="J2" s="435" t="s">
        <v>563</v>
      </c>
      <c r="K2" s="436" t="s">
        <v>564</v>
      </c>
      <c r="L2" s="436" t="s">
        <v>565</v>
      </c>
      <c r="M2" s="437" t="s">
        <v>566</v>
      </c>
      <c r="N2" s="435" t="s">
        <v>563</v>
      </c>
      <c r="O2" s="436" t="s">
        <v>564</v>
      </c>
      <c r="P2" s="436" t="s">
        <v>565</v>
      </c>
      <c r="Q2" s="437" t="s">
        <v>566</v>
      </c>
      <c r="R2" s="435" t="s">
        <v>563</v>
      </c>
      <c r="S2" s="436" t="s">
        <v>564</v>
      </c>
      <c r="T2" s="436" t="s">
        <v>565</v>
      </c>
      <c r="U2" s="437" t="s">
        <v>566</v>
      </c>
    </row>
    <row r="3" spans="1:21">
      <c r="A3" s="433"/>
      <c r="B3" s="438"/>
      <c r="C3" s="439"/>
      <c r="D3" s="440"/>
      <c r="E3" s="441"/>
      <c r="F3" s="438"/>
      <c r="G3" s="439"/>
      <c r="H3" s="440"/>
      <c r="I3" s="441"/>
      <c r="J3" s="438"/>
      <c r="K3" s="439"/>
      <c r="L3" s="440"/>
      <c r="M3" s="441"/>
      <c r="N3" s="438"/>
      <c r="O3" s="439"/>
      <c r="P3" s="440"/>
      <c r="Q3" s="441"/>
      <c r="R3" s="438"/>
      <c r="S3" s="439"/>
      <c r="T3" s="440"/>
      <c r="U3" s="441"/>
    </row>
    <row r="4" spans="1:21" ht="13">
      <c r="A4" s="451" t="s">
        <v>548</v>
      </c>
      <c r="B4" s="452">
        <v>500000</v>
      </c>
      <c r="C4" s="453">
        <v>0.5</v>
      </c>
      <c r="D4" s="454">
        <f>B4*(1-C4)</f>
        <v>250000</v>
      </c>
      <c r="E4" s="455" t="s">
        <v>339</v>
      </c>
      <c r="F4" s="456">
        <v>970682</v>
      </c>
      <c r="G4" s="453">
        <v>0.5</v>
      </c>
      <c r="H4" s="457">
        <f>F4*(1-G4)</f>
        <v>485341</v>
      </c>
      <c r="I4" s="455" t="s">
        <v>339</v>
      </c>
      <c r="J4" s="452">
        <v>970682</v>
      </c>
      <c r="K4" s="453">
        <v>0.5</v>
      </c>
      <c r="L4" s="454">
        <f>J4*(1-K4)</f>
        <v>485341</v>
      </c>
      <c r="M4" s="458" t="s">
        <v>341</v>
      </c>
      <c r="N4" s="459">
        <v>970682</v>
      </c>
      <c r="O4" s="460">
        <v>0.5</v>
      </c>
      <c r="P4" s="461">
        <f>N4*(1-O4)</f>
        <v>485341</v>
      </c>
      <c r="Q4" s="462" t="s">
        <v>341</v>
      </c>
      <c r="R4" s="459">
        <v>970682</v>
      </c>
      <c r="S4" s="460">
        <v>0.5</v>
      </c>
      <c r="T4" s="461">
        <f>R4*(1-S4)</f>
        <v>485341</v>
      </c>
      <c r="U4" s="462" t="s">
        <v>341</v>
      </c>
    </row>
    <row r="5" spans="1:21" ht="13">
      <c r="A5" s="451" t="s">
        <v>322</v>
      </c>
      <c r="B5" s="452">
        <v>540000</v>
      </c>
      <c r="C5" s="453">
        <v>0</v>
      </c>
      <c r="D5" s="454">
        <f t="shared" ref="D5:D19" si="0">B5*(1-C5)</f>
        <v>540000</v>
      </c>
      <c r="E5" s="455" t="s">
        <v>333</v>
      </c>
      <c r="F5" s="452">
        <v>540000</v>
      </c>
      <c r="G5" s="453">
        <v>0</v>
      </c>
      <c r="H5" s="454">
        <f t="shared" ref="H5:H20" si="1">F5*(1-G5)</f>
        <v>540000</v>
      </c>
      <c r="I5" s="455" t="s">
        <v>333</v>
      </c>
      <c r="J5" s="452">
        <v>540000</v>
      </c>
      <c r="K5" s="453">
        <v>0</v>
      </c>
      <c r="L5" s="454">
        <f t="shared" ref="L5:L20" si="2">J5*(1-K5)</f>
        <v>540000</v>
      </c>
      <c r="M5" s="455" t="s">
        <v>333</v>
      </c>
      <c r="N5" s="459">
        <v>540000</v>
      </c>
      <c r="O5" s="460">
        <v>0</v>
      </c>
      <c r="P5" s="461">
        <f t="shared" ref="P5:P20" si="3">N5*(1-O5)</f>
        <v>540000</v>
      </c>
      <c r="Q5" s="462" t="s">
        <v>333</v>
      </c>
      <c r="R5" s="459">
        <v>540000</v>
      </c>
      <c r="S5" s="463">
        <v>0.25</v>
      </c>
      <c r="T5" s="457">
        <f t="shared" ref="T5:T20" si="4">R5*(1-S5)</f>
        <v>405000</v>
      </c>
      <c r="U5" s="458" t="s">
        <v>334</v>
      </c>
    </row>
    <row r="6" spans="1:21" ht="26">
      <c r="A6" s="451" t="s">
        <v>549</v>
      </c>
      <c r="B6" s="452">
        <v>0</v>
      </c>
      <c r="C6" s="453">
        <v>0</v>
      </c>
      <c r="D6" s="454">
        <f t="shared" si="0"/>
        <v>0</v>
      </c>
      <c r="E6" s="455"/>
      <c r="F6" s="452">
        <v>0</v>
      </c>
      <c r="G6" s="453">
        <v>0</v>
      </c>
      <c r="H6" s="454">
        <f t="shared" si="1"/>
        <v>0</v>
      </c>
      <c r="I6" s="455"/>
      <c r="J6" s="452">
        <v>0</v>
      </c>
      <c r="K6" s="453">
        <v>0</v>
      </c>
      <c r="L6" s="454">
        <f t="shared" si="2"/>
        <v>0</v>
      </c>
      <c r="M6" s="455"/>
      <c r="N6" s="459">
        <v>0</v>
      </c>
      <c r="O6" s="460">
        <v>0</v>
      </c>
      <c r="P6" s="461">
        <f t="shared" si="3"/>
        <v>0</v>
      </c>
      <c r="Q6" s="462"/>
      <c r="R6" s="459">
        <v>0</v>
      </c>
      <c r="S6" s="460">
        <v>0</v>
      </c>
      <c r="T6" s="461">
        <f t="shared" si="4"/>
        <v>0</v>
      </c>
      <c r="U6" s="462"/>
    </row>
    <row r="7" spans="1:21" ht="13">
      <c r="A7" s="451" t="s">
        <v>550</v>
      </c>
      <c r="B7" s="452">
        <v>310000</v>
      </c>
      <c r="C7" s="453">
        <v>0</v>
      </c>
      <c r="D7" s="454">
        <f t="shared" si="0"/>
        <v>310000</v>
      </c>
      <c r="E7" s="455" t="s">
        <v>338</v>
      </c>
      <c r="F7" s="452">
        <v>310000</v>
      </c>
      <c r="G7" s="453">
        <v>0</v>
      </c>
      <c r="H7" s="454">
        <f t="shared" si="1"/>
        <v>310000</v>
      </c>
      <c r="I7" s="455" t="s">
        <v>338</v>
      </c>
      <c r="J7" s="456">
        <v>599488</v>
      </c>
      <c r="K7" s="463">
        <v>0.9</v>
      </c>
      <c r="L7" s="457">
        <f t="shared" si="2"/>
        <v>59948.799999999988</v>
      </c>
      <c r="M7" s="455" t="s">
        <v>338</v>
      </c>
      <c r="N7" s="459">
        <v>599488</v>
      </c>
      <c r="O7" s="460">
        <v>0.9</v>
      </c>
      <c r="P7" s="461">
        <f t="shared" si="3"/>
        <v>59948.799999999988</v>
      </c>
      <c r="Q7" s="462" t="s">
        <v>338</v>
      </c>
      <c r="R7" s="459">
        <v>599488</v>
      </c>
      <c r="S7" s="460">
        <v>0.9</v>
      </c>
      <c r="T7" s="461">
        <f t="shared" si="4"/>
        <v>59948.799999999988</v>
      </c>
      <c r="U7" s="462" t="s">
        <v>338</v>
      </c>
    </row>
    <row r="8" spans="1:21" ht="13">
      <c r="A8" s="451" t="s">
        <v>113</v>
      </c>
      <c r="B8" s="452">
        <v>310000</v>
      </c>
      <c r="C8" s="453">
        <v>0</v>
      </c>
      <c r="D8" s="454">
        <f t="shared" si="0"/>
        <v>310000</v>
      </c>
      <c r="E8" s="455" t="s">
        <v>335</v>
      </c>
      <c r="F8" s="456">
        <v>307201</v>
      </c>
      <c r="G8" s="453">
        <v>0</v>
      </c>
      <c r="H8" s="457">
        <f t="shared" si="1"/>
        <v>307201</v>
      </c>
      <c r="I8" s="455" t="s">
        <v>335</v>
      </c>
      <c r="J8" s="452">
        <v>307201</v>
      </c>
      <c r="K8" s="453">
        <v>0</v>
      </c>
      <c r="L8" s="454">
        <f t="shared" si="2"/>
        <v>307201</v>
      </c>
      <c r="M8" s="455" t="s">
        <v>335</v>
      </c>
      <c r="N8" s="459">
        <v>307201</v>
      </c>
      <c r="O8" s="460">
        <v>0</v>
      </c>
      <c r="P8" s="461">
        <f t="shared" si="3"/>
        <v>307201</v>
      </c>
      <c r="Q8" s="462" t="s">
        <v>335</v>
      </c>
      <c r="R8" s="459">
        <v>307201</v>
      </c>
      <c r="S8" s="460">
        <v>0</v>
      </c>
      <c r="T8" s="461">
        <f t="shared" si="4"/>
        <v>307201</v>
      </c>
      <c r="U8" s="462" t="s">
        <v>335</v>
      </c>
    </row>
    <row r="9" spans="1:21" ht="13">
      <c r="A9" s="451" t="s">
        <v>11</v>
      </c>
      <c r="B9" s="452">
        <v>0</v>
      </c>
      <c r="C9" s="453">
        <v>0</v>
      </c>
      <c r="D9" s="454">
        <f t="shared" si="0"/>
        <v>0</v>
      </c>
      <c r="E9" s="455"/>
      <c r="F9" s="452">
        <v>0</v>
      </c>
      <c r="G9" s="453">
        <v>0</v>
      </c>
      <c r="H9" s="454">
        <f t="shared" si="1"/>
        <v>0</v>
      </c>
      <c r="I9" s="455"/>
      <c r="J9" s="452">
        <v>0</v>
      </c>
      <c r="K9" s="453">
        <v>0</v>
      </c>
      <c r="L9" s="454">
        <f t="shared" si="2"/>
        <v>0</v>
      </c>
      <c r="M9" s="455"/>
      <c r="N9" s="459">
        <v>0</v>
      </c>
      <c r="O9" s="460">
        <v>0</v>
      </c>
      <c r="P9" s="461">
        <f t="shared" si="3"/>
        <v>0</v>
      </c>
      <c r="Q9" s="462"/>
      <c r="R9" s="459">
        <v>0</v>
      </c>
      <c r="S9" s="460">
        <v>0</v>
      </c>
      <c r="T9" s="461">
        <f t="shared" si="4"/>
        <v>0</v>
      </c>
      <c r="U9" s="462"/>
    </row>
    <row r="10" spans="1:21" ht="13">
      <c r="A10" s="451" t="s">
        <v>51</v>
      </c>
      <c r="B10" s="452">
        <v>167000</v>
      </c>
      <c r="C10" s="453">
        <v>0</v>
      </c>
      <c r="D10" s="454">
        <f t="shared" si="0"/>
        <v>167000</v>
      </c>
      <c r="E10" s="455" t="s">
        <v>567</v>
      </c>
      <c r="F10" s="456">
        <f>227700+60086</f>
        <v>287786</v>
      </c>
      <c r="G10" s="453">
        <v>0</v>
      </c>
      <c r="H10" s="457">
        <f t="shared" si="1"/>
        <v>287786</v>
      </c>
      <c r="I10" s="455" t="s">
        <v>572</v>
      </c>
      <c r="J10" s="452">
        <f>227700+60086</f>
        <v>287786</v>
      </c>
      <c r="K10" s="453">
        <v>0</v>
      </c>
      <c r="L10" s="454">
        <f t="shared" si="2"/>
        <v>287786</v>
      </c>
      <c r="M10" s="455" t="s">
        <v>569</v>
      </c>
      <c r="N10" s="459">
        <f>227700+60086</f>
        <v>287786</v>
      </c>
      <c r="O10" s="460">
        <v>0</v>
      </c>
      <c r="P10" s="461">
        <f t="shared" si="3"/>
        <v>287786</v>
      </c>
      <c r="Q10" s="462" t="s">
        <v>569</v>
      </c>
      <c r="R10" s="459">
        <f>227700+60086</f>
        <v>287786</v>
      </c>
      <c r="S10" s="460">
        <v>0</v>
      </c>
      <c r="T10" s="461">
        <f t="shared" si="4"/>
        <v>287786</v>
      </c>
      <c r="U10" s="458" t="s">
        <v>334</v>
      </c>
    </row>
    <row r="11" spans="1:21" ht="13">
      <c r="A11" s="451" t="s">
        <v>314</v>
      </c>
      <c r="B11" s="452">
        <v>750000</v>
      </c>
      <c r="C11" s="453">
        <v>0.5</v>
      </c>
      <c r="D11" s="454">
        <f t="shared" si="0"/>
        <v>375000</v>
      </c>
      <c r="E11" s="455" t="s">
        <v>336</v>
      </c>
      <c r="F11" s="452">
        <v>750000</v>
      </c>
      <c r="G11" s="453">
        <v>0.5</v>
      </c>
      <c r="H11" s="454">
        <f t="shared" si="1"/>
        <v>375000</v>
      </c>
      <c r="I11" s="455" t="s">
        <v>340</v>
      </c>
      <c r="J11" s="452">
        <v>750000</v>
      </c>
      <c r="K11" s="453">
        <v>0.5</v>
      </c>
      <c r="L11" s="454">
        <f t="shared" si="2"/>
        <v>375000</v>
      </c>
      <c r="M11" s="455" t="s">
        <v>340</v>
      </c>
      <c r="N11" s="459">
        <v>750000</v>
      </c>
      <c r="O11" s="460">
        <v>0.5</v>
      </c>
      <c r="P11" s="461">
        <f t="shared" si="3"/>
        <v>375000</v>
      </c>
      <c r="Q11" s="462" t="s">
        <v>340</v>
      </c>
      <c r="R11" s="459">
        <v>750000</v>
      </c>
      <c r="S11" s="460">
        <v>0.5</v>
      </c>
      <c r="T11" s="461">
        <f t="shared" si="4"/>
        <v>375000</v>
      </c>
      <c r="U11" s="462" t="s">
        <v>340</v>
      </c>
    </row>
    <row r="12" spans="1:21" ht="26">
      <c r="A12" s="451" t="s">
        <v>551</v>
      </c>
      <c r="B12" s="452">
        <v>0</v>
      </c>
      <c r="C12" s="453">
        <v>0</v>
      </c>
      <c r="D12" s="454">
        <f t="shared" si="0"/>
        <v>0</v>
      </c>
      <c r="E12" s="455"/>
      <c r="F12" s="452">
        <v>0</v>
      </c>
      <c r="G12" s="453">
        <v>0</v>
      </c>
      <c r="H12" s="454">
        <f t="shared" si="1"/>
        <v>0</v>
      </c>
      <c r="I12" s="455"/>
      <c r="J12" s="452">
        <v>0</v>
      </c>
      <c r="K12" s="453">
        <v>0</v>
      </c>
      <c r="L12" s="454">
        <f t="shared" si="2"/>
        <v>0</v>
      </c>
      <c r="M12" s="455"/>
      <c r="N12" s="459">
        <v>0</v>
      </c>
      <c r="O12" s="460">
        <v>0</v>
      </c>
      <c r="P12" s="461">
        <f t="shared" si="3"/>
        <v>0</v>
      </c>
      <c r="Q12" s="462"/>
      <c r="R12" s="459">
        <v>0</v>
      </c>
      <c r="S12" s="460">
        <v>0</v>
      </c>
      <c r="T12" s="461">
        <f t="shared" si="4"/>
        <v>0</v>
      </c>
      <c r="U12" s="462"/>
    </row>
    <row r="13" spans="1:21" ht="26">
      <c r="A13" s="451" t="s">
        <v>114</v>
      </c>
      <c r="B13" s="452">
        <v>0</v>
      </c>
      <c r="C13" s="453">
        <v>0</v>
      </c>
      <c r="D13" s="454">
        <f t="shared" si="0"/>
        <v>0</v>
      </c>
      <c r="E13" s="455"/>
      <c r="F13" s="452">
        <v>0</v>
      </c>
      <c r="G13" s="453">
        <v>0</v>
      </c>
      <c r="H13" s="454">
        <f t="shared" si="1"/>
        <v>0</v>
      </c>
      <c r="I13" s="455"/>
      <c r="J13" s="452">
        <v>0</v>
      </c>
      <c r="K13" s="453">
        <v>0</v>
      </c>
      <c r="L13" s="454">
        <f t="shared" si="2"/>
        <v>0</v>
      </c>
      <c r="M13" s="455"/>
      <c r="N13" s="459">
        <v>0</v>
      </c>
      <c r="O13" s="460">
        <v>0</v>
      </c>
      <c r="P13" s="461">
        <f t="shared" si="3"/>
        <v>0</v>
      </c>
      <c r="Q13" s="462"/>
      <c r="R13" s="459">
        <v>0</v>
      </c>
      <c r="S13" s="460">
        <v>0</v>
      </c>
      <c r="T13" s="461">
        <f t="shared" si="4"/>
        <v>0</v>
      </c>
      <c r="U13" s="462"/>
    </row>
    <row r="14" spans="1:21" ht="13">
      <c r="A14" s="451" t="s">
        <v>552</v>
      </c>
      <c r="B14" s="452">
        <v>0</v>
      </c>
      <c r="C14" s="453">
        <v>0</v>
      </c>
      <c r="D14" s="454">
        <f t="shared" si="0"/>
        <v>0</v>
      </c>
      <c r="E14" s="455"/>
      <c r="F14" s="452">
        <v>0</v>
      </c>
      <c r="G14" s="453">
        <v>0</v>
      </c>
      <c r="H14" s="454">
        <f t="shared" si="1"/>
        <v>0</v>
      </c>
      <c r="I14" s="455"/>
      <c r="J14" s="452">
        <v>0</v>
      </c>
      <c r="K14" s="453">
        <v>0</v>
      </c>
      <c r="L14" s="454">
        <f t="shared" si="2"/>
        <v>0</v>
      </c>
      <c r="M14" s="455"/>
      <c r="N14" s="459">
        <v>0</v>
      </c>
      <c r="O14" s="460">
        <v>0</v>
      </c>
      <c r="P14" s="461">
        <f t="shared" si="3"/>
        <v>0</v>
      </c>
      <c r="Q14" s="462"/>
      <c r="R14" s="459">
        <v>0</v>
      </c>
      <c r="S14" s="460">
        <v>0</v>
      </c>
      <c r="T14" s="461">
        <f t="shared" si="4"/>
        <v>0</v>
      </c>
      <c r="U14" s="462"/>
    </row>
    <row r="15" spans="1:21" ht="13">
      <c r="A15" s="451" t="s">
        <v>553</v>
      </c>
      <c r="B15" s="452">
        <v>0</v>
      </c>
      <c r="C15" s="453">
        <v>0</v>
      </c>
      <c r="D15" s="454">
        <f t="shared" si="0"/>
        <v>0</v>
      </c>
      <c r="E15" s="455"/>
      <c r="F15" s="452">
        <v>0</v>
      </c>
      <c r="G15" s="453">
        <v>0</v>
      </c>
      <c r="H15" s="454">
        <f t="shared" si="1"/>
        <v>0</v>
      </c>
      <c r="I15" s="455"/>
      <c r="J15" s="452">
        <v>0</v>
      </c>
      <c r="K15" s="453">
        <v>0</v>
      </c>
      <c r="L15" s="454">
        <f t="shared" si="2"/>
        <v>0</v>
      </c>
      <c r="M15" s="455"/>
      <c r="N15" s="459">
        <v>0</v>
      </c>
      <c r="O15" s="460">
        <v>0</v>
      </c>
      <c r="P15" s="461">
        <f t="shared" si="3"/>
        <v>0</v>
      </c>
      <c r="Q15" s="462"/>
      <c r="R15" s="459">
        <v>0</v>
      </c>
      <c r="S15" s="460">
        <v>0</v>
      </c>
      <c r="T15" s="461">
        <f t="shared" si="4"/>
        <v>0</v>
      </c>
      <c r="U15" s="462"/>
    </row>
    <row r="16" spans="1:21" ht="13">
      <c r="A16" s="451" t="s">
        <v>117</v>
      </c>
      <c r="B16" s="452">
        <v>750000</v>
      </c>
      <c r="C16" s="453">
        <v>0</v>
      </c>
      <c r="D16" s="454">
        <f t="shared" si="0"/>
        <v>750000</v>
      </c>
      <c r="E16" s="455" t="s">
        <v>336</v>
      </c>
      <c r="F16" s="452">
        <v>750000</v>
      </c>
      <c r="G16" s="463">
        <v>0.15</v>
      </c>
      <c r="H16" s="457">
        <f t="shared" si="1"/>
        <v>637500</v>
      </c>
      <c r="I16" s="455" t="s">
        <v>336</v>
      </c>
      <c r="J16" s="452">
        <v>750000</v>
      </c>
      <c r="K16" s="453">
        <v>0.15</v>
      </c>
      <c r="L16" s="454">
        <f t="shared" si="2"/>
        <v>637500</v>
      </c>
      <c r="M16" s="455" t="s">
        <v>336</v>
      </c>
      <c r="N16" s="459">
        <v>750000</v>
      </c>
      <c r="O16" s="460">
        <v>0.15</v>
      </c>
      <c r="P16" s="461">
        <f t="shared" si="3"/>
        <v>637500</v>
      </c>
      <c r="Q16" s="462" t="s">
        <v>336</v>
      </c>
      <c r="R16" s="459">
        <v>750000</v>
      </c>
      <c r="S16" s="460">
        <v>0.15</v>
      </c>
      <c r="T16" s="461">
        <f t="shared" si="4"/>
        <v>637500</v>
      </c>
      <c r="U16" s="462" t="s">
        <v>336</v>
      </c>
    </row>
    <row r="17" spans="1:21" ht="26">
      <c r="A17" s="451" t="s">
        <v>554</v>
      </c>
      <c r="B17" s="452">
        <v>333333.33333333331</v>
      </c>
      <c r="C17" s="453">
        <v>0.5</v>
      </c>
      <c r="D17" s="454">
        <f t="shared" si="0"/>
        <v>166666.66666666666</v>
      </c>
      <c r="E17" s="455" t="s">
        <v>341</v>
      </c>
      <c r="F17" s="452">
        <v>333333.33333333331</v>
      </c>
      <c r="G17" s="453">
        <v>0.5</v>
      </c>
      <c r="H17" s="454">
        <f t="shared" si="1"/>
        <v>166666.66666666666</v>
      </c>
      <c r="I17" s="455" t="s">
        <v>341</v>
      </c>
      <c r="J17" s="452">
        <v>333333.33333333331</v>
      </c>
      <c r="K17" s="453">
        <v>0.5</v>
      </c>
      <c r="L17" s="454">
        <f t="shared" si="2"/>
        <v>166666.66666666666</v>
      </c>
      <c r="M17" s="455" t="s">
        <v>341</v>
      </c>
      <c r="N17" s="459">
        <v>333333.33333333331</v>
      </c>
      <c r="O17" s="460">
        <v>0.5</v>
      </c>
      <c r="P17" s="461">
        <f t="shared" si="3"/>
        <v>166666.66666666666</v>
      </c>
      <c r="Q17" s="462" t="s">
        <v>341</v>
      </c>
      <c r="R17" s="459">
        <v>333333.33333333331</v>
      </c>
      <c r="S17" s="460">
        <v>0.5</v>
      </c>
      <c r="T17" s="461">
        <f t="shared" si="4"/>
        <v>166666.66666666666</v>
      </c>
      <c r="U17" s="462" t="s">
        <v>341</v>
      </c>
    </row>
    <row r="18" spans="1:21" ht="13">
      <c r="A18" s="451" t="s">
        <v>555</v>
      </c>
      <c r="B18" s="452">
        <v>0</v>
      </c>
      <c r="C18" s="453"/>
      <c r="D18" s="454">
        <f t="shared" si="0"/>
        <v>0</v>
      </c>
      <c r="E18" s="455"/>
      <c r="F18" s="452">
        <v>0</v>
      </c>
      <c r="G18" s="453"/>
      <c r="H18" s="454">
        <f t="shared" si="1"/>
        <v>0</v>
      </c>
      <c r="I18" s="455"/>
      <c r="J18" s="452">
        <v>0</v>
      </c>
      <c r="K18" s="453"/>
      <c r="L18" s="454">
        <f t="shared" si="2"/>
        <v>0</v>
      </c>
      <c r="M18" s="455"/>
      <c r="N18" s="452">
        <v>0</v>
      </c>
      <c r="O18" s="453"/>
      <c r="P18" s="454">
        <f t="shared" si="3"/>
        <v>0</v>
      </c>
      <c r="Q18" s="455"/>
      <c r="R18" s="452">
        <v>0</v>
      </c>
      <c r="S18" s="453"/>
      <c r="T18" s="454">
        <f t="shared" si="4"/>
        <v>0</v>
      </c>
      <c r="U18" s="455"/>
    </row>
    <row r="19" spans="1:21" ht="13">
      <c r="A19" s="451" t="s">
        <v>106</v>
      </c>
      <c r="B19" s="452">
        <v>420000</v>
      </c>
      <c r="C19" s="453">
        <v>0.5</v>
      </c>
      <c r="D19" s="454">
        <f t="shared" si="0"/>
        <v>210000</v>
      </c>
      <c r="E19" s="455" t="s">
        <v>341</v>
      </c>
      <c r="F19" s="452">
        <v>420000</v>
      </c>
      <c r="G19" s="453">
        <v>0.5</v>
      </c>
      <c r="H19" s="454">
        <f t="shared" si="1"/>
        <v>210000</v>
      </c>
      <c r="I19" s="455" t="s">
        <v>341</v>
      </c>
      <c r="J19" s="456">
        <v>226256</v>
      </c>
      <c r="K19" s="453">
        <v>0.5</v>
      </c>
      <c r="L19" s="457">
        <f t="shared" si="2"/>
        <v>113128</v>
      </c>
      <c r="M19" s="455" t="s">
        <v>341</v>
      </c>
      <c r="N19" s="456">
        <v>0</v>
      </c>
      <c r="O19" s="453">
        <v>0.5</v>
      </c>
      <c r="P19" s="457">
        <f t="shared" si="3"/>
        <v>0</v>
      </c>
      <c r="Q19" s="464" t="s">
        <v>584</v>
      </c>
      <c r="R19" s="456">
        <v>0</v>
      </c>
      <c r="S19" s="453">
        <v>0.5</v>
      </c>
      <c r="T19" s="457">
        <f t="shared" si="4"/>
        <v>0</v>
      </c>
      <c r="U19" s="464" t="s">
        <v>584</v>
      </c>
    </row>
    <row r="20" spans="1:21" ht="13">
      <c r="A20" s="451" t="s">
        <v>570</v>
      </c>
      <c r="B20" s="452"/>
      <c r="C20" s="453"/>
      <c r="D20" s="454"/>
      <c r="E20" s="455"/>
      <c r="F20" s="456">
        <v>400000</v>
      </c>
      <c r="G20" s="463">
        <v>0.5</v>
      </c>
      <c r="H20" s="457">
        <f t="shared" si="1"/>
        <v>200000</v>
      </c>
      <c r="I20" s="458" t="s">
        <v>341</v>
      </c>
      <c r="J20" s="456">
        <v>325781</v>
      </c>
      <c r="K20" s="453">
        <v>0.5</v>
      </c>
      <c r="L20" s="457">
        <f t="shared" si="2"/>
        <v>162890.5</v>
      </c>
      <c r="M20" s="455" t="s">
        <v>341</v>
      </c>
      <c r="N20" s="459">
        <v>325781</v>
      </c>
      <c r="O20" s="460">
        <v>0.5</v>
      </c>
      <c r="P20" s="461">
        <f t="shared" si="3"/>
        <v>162890.5</v>
      </c>
      <c r="Q20" s="462" t="s">
        <v>341</v>
      </c>
      <c r="R20" s="459">
        <v>325781</v>
      </c>
      <c r="S20" s="460">
        <v>0.5</v>
      </c>
      <c r="T20" s="461">
        <f t="shared" si="4"/>
        <v>162890.5</v>
      </c>
      <c r="U20" s="462" t="s">
        <v>341</v>
      </c>
    </row>
    <row r="21" spans="1:21" ht="13" thickBot="1">
      <c r="A21" s="433"/>
      <c r="B21" s="442"/>
      <c r="C21" s="443"/>
      <c r="D21" s="444"/>
      <c r="E21" s="445"/>
      <c r="F21" s="442"/>
      <c r="G21" s="446"/>
      <c r="H21" s="444"/>
      <c r="I21" s="447"/>
      <c r="J21" s="442"/>
      <c r="K21" s="446"/>
      <c r="L21" s="444"/>
      <c r="M21" s="447"/>
      <c r="N21" s="442"/>
      <c r="O21" s="446"/>
      <c r="P21" s="444"/>
      <c r="Q21" s="447"/>
      <c r="R21" s="442"/>
      <c r="S21" s="446"/>
      <c r="T21" s="444"/>
      <c r="U21" s="447"/>
    </row>
    <row r="22" spans="1:21" s="383" customFormat="1" ht="13">
      <c r="A22" s="434" t="s">
        <v>35</v>
      </c>
      <c r="B22" s="448">
        <f>SUM(B4:B21)</f>
        <v>4080333.3333333335</v>
      </c>
      <c r="C22" s="448"/>
      <c r="D22" s="448">
        <f>SUM(D4:D21)</f>
        <v>3078666.6666666665</v>
      </c>
      <c r="E22" s="449"/>
      <c r="F22" s="448">
        <f>SUM(F4:F21)</f>
        <v>5069002.333333333</v>
      </c>
      <c r="G22" s="450"/>
      <c r="H22" s="448">
        <f t="shared" ref="H22" si="5">SUM(H4:H21)</f>
        <v>3519494.6666666665</v>
      </c>
      <c r="I22" s="434"/>
      <c r="J22" s="448">
        <f>SUM(J4:J21)</f>
        <v>5090527.333333333</v>
      </c>
      <c r="K22" s="450"/>
      <c r="L22" s="448">
        <f t="shared" ref="L22" si="6">SUM(L4:L21)</f>
        <v>3135461.9666666663</v>
      </c>
      <c r="M22" s="434"/>
      <c r="N22" s="448">
        <f>SUM(N4:N21)</f>
        <v>4864271.333333333</v>
      </c>
      <c r="O22" s="448"/>
      <c r="P22" s="448">
        <f t="shared" ref="P22" si="7">SUM(P4:P21)</f>
        <v>3022333.9666666663</v>
      </c>
      <c r="Q22" s="434"/>
      <c r="R22" s="448">
        <f>SUM(R4:R21)</f>
        <v>4864271.333333333</v>
      </c>
      <c r="S22" s="448"/>
      <c r="T22" s="448">
        <f t="shared" ref="T22" si="8">SUM(T4:T21)</f>
        <v>2887333.9666666663</v>
      </c>
    </row>
    <row r="23" spans="1:21" s="548" customFormat="1">
      <c r="A23" s="546" t="s">
        <v>620</v>
      </c>
      <c r="B23" s="546"/>
      <c r="C23" s="546"/>
      <c r="D23" s="546"/>
      <c r="E23" s="547"/>
      <c r="F23" s="546">
        <f>F22-B22</f>
        <v>988668.99999999953</v>
      </c>
      <c r="G23" s="546"/>
      <c r="H23" s="546">
        <f t="shared" ref="H23" si="9">H22-D22</f>
        <v>440828</v>
      </c>
      <c r="I23" s="546"/>
      <c r="J23" s="546">
        <f>J22-B22</f>
        <v>1010193.9999999995</v>
      </c>
      <c r="K23" s="546"/>
      <c r="L23" s="546">
        <f t="shared" ref="L23" si="10">L22-D22</f>
        <v>56795.299999999814</v>
      </c>
      <c r="M23" s="546"/>
      <c r="N23" s="546">
        <f>N22-B22</f>
        <v>783937.99999999953</v>
      </c>
      <c r="O23" s="546"/>
      <c r="P23" s="546">
        <f t="shared" ref="P23" si="11">P22-D22</f>
        <v>-56332.700000000186</v>
      </c>
      <c r="Q23" s="546"/>
      <c r="R23" s="546">
        <f>R22-B22</f>
        <v>783937.99999999953</v>
      </c>
      <c r="S23" s="546"/>
      <c r="T23" s="546">
        <f t="shared" ref="T23" si="12">T22-D22</f>
        <v>-191332.70000000019</v>
      </c>
      <c r="U23" s="546"/>
    </row>
  </sheetData>
  <mergeCells count="5">
    <mergeCell ref="B1:E1"/>
    <mergeCell ref="F1:I1"/>
    <mergeCell ref="J1:M1"/>
    <mergeCell ref="N1:Q1"/>
    <mergeCell ref="R1:U1"/>
  </mergeCells>
  <pageMargins left="0.17" right="0.7" top="0.75" bottom="0.75" header="0.3" footer="0.3"/>
  <pageSetup paperSize="5"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1"/>
  </sheetPr>
  <dimension ref="A1:BN126"/>
  <sheetViews>
    <sheetView zoomScaleNormal="100" workbookViewId="0">
      <pane xSplit="1" ySplit="25" topLeftCell="AP45" activePane="bottomRight" state="frozen"/>
      <selection pane="topRight" activeCell="B1" sqref="B1"/>
      <selection pane="bottomLeft" activeCell="A26" sqref="A26"/>
      <selection pane="bottomRight" activeCell="BJ57" sqref="BJ57"/>
    </sheetView>
  </sheetViews>
  <sheetFormatPr baseColWidth="10" defaultColWidth="9.1640625" defaultRowHeight="15"/>
  <cols>
    <col min="1" max="1" width="44.5" style="5" customWidth="1"/>
    <col min="2" max="2" width="15.5" style="75" customWidth="1"/>
    <col min="3" max="3" width="14" style="75" customWidth="1"/>
    <col min="4" max="5" width="16" style="75" customWidth="1"/>
    <col min="6" max="6" width="14.83203125" style="75" customWidth="1"/>
    <col min="7" max="7" width="15.5" style="75" hidden="1" customWidth="1"/>
    <col min="8" max="8" width="17.5" style="221" customWidth="1"/>
    <col min="9" max="9" width="17.5" style="75" customWidth="1"/>
    <col min="10" max="12" width="15.1640625" style="75" customWidth="1"/>
    <col min="13" max="13" width="7.83203125" style="75" bestFit="1" customWidth="1"/>
    <col min="14" max="14" width="12.33203125" style="75" customWidth="1"/>
    <col min="15" max="15" width="10.33203125" style="75" bestFit="1" customWidth="1"/>
    <col min="16" max="16" width="12.6640625" style="75" bestFit="1" customWidth="1"/>
    <col min="17" max="17" width="10" style="66" customWidth="1"/>
    <col min="18" max="19" width="12.33203125" style="75" bestFit="1" customWidth="1"/>
    <col min="20" max="20" width="9.5" style="75" customWidth="1"/>
    <col min="21" max="21" width="13.1640625" style="75" bestFit="1" customWidth="1"/>
    <col min="22" max="22" width="16.33203125" style="75" customWidth="1"/>
    <col min="23" max="23" width="16.1640625" style="75" customWidth="1"/>
    <col min="24" max="24" width="16" style="75" customWidth="1"/>
    <col min="25" max="25" width="17" style="75" customWidth="1"/>
    <col min="26" max="26" width="18.1640625" style="75" customWidth="1"/>
    <col min="27" max="27" width="16.6640625" style="75" customWidth="1"/>
    <col min="28" max="28" width="14.33203125" style="75" customWidth="1"/>
    <col min="29" max="30" width="14.6640625" style="75" customWidth="1"/>
    <col min="31" max="31" width="8.33203125" style="105" bestFit="1" customWidth="1"/>
    <col min="32" max="35" width="14.6640625" style="75" customWidth="1"/>
    <col min="36" max="36" width="14.5" style="75" customWidth="1"/>
    <col min="37" max="37" width="9.83203125" style="75" customWidth="1"/>
    <col min="38" max="38" width="10.6640625" style="75" customWidth="1"/>
    <col min="39" max="39" width="13.83203125" style="75" customWidth="1"/>
    <col min="40" max="40" width="15.1640625" style="75" customWidth="1"/>
    <col min="41" max="43" width="10.1640625" style="5" customWidth="1"/>
    <col min="44" max="44" width="9.1640625" style="5" bestFit="1" customWidth="1"/>
    <col min="45" max="56" width="9.1640625" style="5" customWidth="1"/>
    <col min="57" max="57" width="9.1640625" style="5" bestFit="1" customWidth="1"/>
    <col min="58" max="58" width="8" style="66" bestFit="1" customWidth="1"/>
    <col min="59" max="61" width="9.1640625" style="5" bestFit="1" customWidth="1"/>
    <col min="62" max="62" width="9.6640625" style="5" customWidth="1"/>
    <col min="63" max="63" width="10.1640625" style="5" bestFit="1" customWidth="1"/>
    <col min="64" max="64" width="9.5" style="5" customWidth="1"/>
    <col min="65" max="65" width="9" style="5" customWidth="1"/>
    <col min="66" max="66" width="16.5" style="5" customWidth="1"/>
    <col min="67" max="16384" width="9.1640625" style="5"/>
  </cols>
  <sheetData>
    <row r="1" spans="1:58" s="127" customFormat="1" ht="37.5" hidden="1" customHeight="1">
      <c r="B1" s="128"/>
      <c r="C1" s="128"/>
      <c r="D1" s="128" t="s">
        <v>208</v>
      </c>
      <c r="E1" s="128" t="s">
        <v>208</v>
      </c>
      <c r="F1" s="128" t="s">
        <v>208</v>
      </c>
      <c r="G1" s="128" t="s">
        <v>209</v>
      </c>
      <c r="H1" s="217"/>
      <c r="I1" s="128" t="s">
        <v>208</v>
      </c>
      <c r="J1" s="128" t="s">
        <v>208</v>
      </c>
      <c r="K1" s="128" t="s">
        <v>208</v>
      </c>
      <c r="L1" s="128" t="s">
        <v>208</v>
      </c>
      <c r="M1" s="128"/>
      <c r="N1" s="128"/>
      <c r="O1" s="128"/>
      <c r="P1" s="128"/>
      <c r="Q1" s="129"/>
      <c r="R1" s="128"/>
      <c r="S1" s="128"/>
      <c r="T1" s="128"/>
      <c r="U1" s="128"/>
      <c r="V1" s="128" t="s">
        <v>208</v>
      </c>
      <c r="W1" s="128" t="s">
        <v>208</v>
      </c>
      <c r="X1" s="128" t="s">
        <v>208</v>
      </c>
      <c r="Y1" s="128" t="s">
        <v>208</v>
      </c>
      <c r="Z1" s="128" t="s">
        <v>208</v>
      </c>
      <c r="AA1" s="128" t="s">
        <v>208</v>
      </c>
      <c r="AB1" s="128" t="s">
        <v>210</v>
      </c>
      <c r="AC1" s="128" t="s">
        <v>210</v>
      </c>
      <c r="AD1" s="128" t="s">
        <v>210</v>
      </c>
      <c r="AE1" s="128"/>
      <c r="AF1" s="128" t="s">
        <v>210</v>
      </c>
      <c r="AG1" s="128"/>
      <c r="AH1" s="128" t="s">
        <v>210</v>
      </c>
      <c r="AI1" s="128" t="s">
        <v>210</v>
      </c>
      <c r="AJ1" s="128" t="s">
        <v>210</v>
      </c>
      <c r="AK1" s="128"/>
      <c r="AL1" s="128"/>
      <c r="AM1" s="128"/>
      <c r="AN1" s="128"/>
      <c r="BF1" s="129"/>
    </row>
    <row r="2" spans="1:58" s="60" customFormat="1" ht="11" hidden="1">
      <c r="A2" s="62"/>
      <c r="B2" s="62"/>
      <c r="C2" s="62"/>
      <c r="D2" s="62" t="s">
        <v>247</v>
      </c>
      <c r="E2" s="62" t="s">
        <v>871</v>
      </c>
      <c r="F2" s="62" t="s">
        <v>116</v>
      </c>
      <c r="G2" s="62"/>
      <c r="H2" s="218"/>
      <c r="I2" s="62" t="s">
        <v>206</v>
      </c>
      <c r="J2" s="62" t="s">
        <v>193</v>
      </c>
      <c r="K2" s="62" t="s">
        <v>193</v>
      </c>
      <c r="L2" s="62" t="s">
        <v>193</v>
      </c>
      <c r="M2" s="62"/>
      <c r="N2" s="62"/>
      <c r="O2" s="62">
        <v>2011</v>
      </c>
      <c r="P2" s="62"/>
      <c r="Q2" s="96"/>
      <c r="R2" s="62"/>
      <c r="S2" s="62"/>
      <c r="T2" s="62"/>
      <c r="U2" s="62"/>
      <c r="V2" s="63" t="s">
        <v>156</v>
      </c>
      <c r="W2" s="62" t="s">
        <v>161</v>
      </c>
      <c r="X2" s="62" t="s">
        <v>166</v>
      </c>
      <c r="Y2" s="62" t="s">
        <v>156</v>
      </c>
      <c r="Z2" s="62" t="s">
        <v>173</v>
      </c>
      <c r="AA2" s="62" t="s">
        <v>178</v>
      </c>
      <c r="AB2" s="62"/>
      <c r="AC2" s="62"/>
      <c r="AD2" s="62"/>
      <c r="AE2" s="99"/>
      <c r="AF2" s="62"/>
      <c r="AG2" s="62"/>
      <c r="AH2" s="62"/>
      <c r="AI2" s="62"/>
      <c r="AJ2" s="62"/>
      <c r="AK2" s="62"/>
      <c r="AL2" s="62"/>
      <c r="AM2" s="62"/>
      <c r="AN2" s="62"/>
      <c r="BF2" s="61"/>
    </row>
    <row r="3" spans="1:58" s="60" customFormat="1" ht="11" hidden="1">
      <c r="A3" s="62"/>
      <c r="B3" s="62"/>
      <c r="C3" s="62"/>
      <c r="D3" s="62" t="s">
        <v>248</v>
      </c>
      <c r="E3" s="62" t="s">
        <v>872</v>
      </c>
      <c r="F3" s="62" t="s">
        <v>112</v>
      </c>
      <c r="G3" s="62"/>
      <c r="H3" s="218"/>
      <c r="I3" s="62" t="s">
        <v>877</v>
      </c>
      <c r="J3" s="62" t="s">
        <v>194</v>
      </c>
      <c r="K3" s="62" t="s">
        <v>194</v>
      </c>
      <c r="L3" s="62" t="s">
        <v>194</v>
      </c>
      <c r="M3" s="62"/>
      <c r="N3" s="62"/>
      <c r="O3" s="62">
        <v>2012</v>
      </c>
      <c r="P3" s="62"/>
      <c r="Q3" s="96"/>
      <c r="R3" s="62"/>
      <c r="S3" s="62"/>
      <c r="T3" s="62"/>
      <c r="U3" s="62"/>
      <c r="V3" s="62" t="s">
        <v>155</v>
      </c>
      <c r="W3" s="62" t="s">
        <v>162</v>
      </c>
      <c r="X3" s="62" t="s">
        <v>167</v>
      </c>
      <c r="Y3" s="62" t="s">
        <v>171</v>
      </c>
      <c r="Z3" s="62" t="s">
        <v>174</v>
      </c>
      <c r="AA3" s="62" t="s">
        <v>179</v>
      </c>
      <c r="AB3" s="62"/>
      <c r="AC3" s="62"/>
      <c r="AD3" s="62"/>
      <c r="AE3" s="99"/>
      <c r="AF3" s="62"/>
      <c r="AG3" s="62"/>
      <c r="AH3" s="62"/>
      <c r="AI3" s="62"/>
      <c r="AJ3" s="62"/>
      <c r="AK3" s="62"/>
      <c r="AL3" s="62"/>
      <c r="AM3" s="62"/>
      <c r="AN3" s="62"/>
      <c r="BF3" s="61"/>
    </row>
    <row r="4" spans="1:58" s="60" customFormat="1" ht="11" hidden="1">
      <c r="A4" s="62"/>
      <c r="B4" s="62"/>
      <c r="C4" s="62"/>
      <c r="D4" s="62" t="s">
        <v>111</v>
      </c>
      <c r="E4" s="62"/>
      <c r="F4" s="62" t="s">
        <v>54</v>
      </c>
      <c r="G4" s="62"/>
      <c r="H4" s="218"/>
      <c r="I4" s="62" t="s">
        <v>190</v>
      </c>
      <c r="J4" s="62" t="s">
        <v>195</v>
      </c>
      <c r="K4" s="62" t="s">
        <v>195</v>
      </c>
      <c r="L4" s="62" t="s">
        <v>195</v>
      </c>
      <c r="M4" s="62"/>
      <c r="N4" s="62"/>
      <c r="O4" s="62">
        <v>2013</v>
      </c>
      <c r="P4" s="62"/>
      <c r="Q4" s="96"/>
      <c r="R4" s="62"/>
      <c r="S4" s="62"/>
      <c r="T4" s="62"/>
      <c r="U4" s="62"/>
      <c r="V4" s="62" t="s">
        <v>138</v>
      </c>
      <c r="W4" s="62" t="s">
        <v>163</v>
      </c>
      <c r="X4" s="62" t="s">
        <v>168</v>
      </c>
      <c r="Y4" s="62" t="s">
        <v>170</v>
      </c>
      <c r="Z4" s="62" t="s">
        <v>175</v>
      </c>
      <c r="AA4" s="62" t="s">
        <v>180</v>
      </c>
      <c r="AB4" s="62"/>
      <c r="AC4" s="62"/>
      <c r="AD4" s="62"/>
      <c r="AE4" s="99"/>
      <c r="AF4" s="62"/>
      <c r="AG4" s="62"/>
      <c r="AH4" s="62"/>
      <c r="AI4" s="62"/>
      <c r="AJ4" s="62"/>
      <c r="AK4" s="62"/>
      <c r="AL4" s="62"/>
      <c r="AM4" s="62"/>
      <c r="AN4" s="62"/>
      <c r="BF4" s="61"/>
    </row>
    <row r="5" spans="1:58" s="60" customFormat="1" ht="11" hidden="1">
      <c r="A5" s="62"/>
      <c r="B5" s="62"/>
      <c r="C5" s="62"/>
      <c r="D5" s="62" t="s">
        <v>249</v>
      </c>
      <c r="E5" s="62"/>
      <c r="F5" s="62" t="s">
        <v>153</v>
      </c>
      <c r="G5" s="62"/>
      <c r="H5" s="218"/>
      <c r="I5" s="62" t="s">
        <v>191</v>
      </c>
      <c r="J5" s="62" t="s">
        <v>196</v>
      </c>
      <c r="K5" s="62" t="s">
        <v>196</v>
      </c>
      <c r="L5" s="62" t="s">
        <v>196</v>
      </c>
      <c r="M5" s="62"/>
      <c r="N5" s="62"/>
      <c r="O5" s="62">
        <v>2014</v>
      </c>
      <c r="P5" s="62"/>
      <c r="Q5" s="96"/>
      <c r="R5" s="62"/>
      <c r="S5" s="62"/>
      <c r="T5" s="62"/>
      <c r="U5" s="62"/>
      <c r="V5" s="62" t="s">
        <v>263</v>
      </c>
      <c r="W5" s="62" t="s">
        <v>164</v>
      </c>
      <c r="X5" s="62" t="s">
        <v>169</v>
      </c>
      <c r="Y5" s="62" t="s">
        <v>67</v>
      </c>
      <c r="Z5" s="62" t="s">
        <v>176</v>
      </c>
      <c r="AA5" s="62" t="s">
        <v>211</v>
      </c>
      <c r="AB5" s="62"/>
      <c r="AC5" s="62"/>
      <c r="AD5" s="62"/>
      <c r="AE5" s="99"/>
      <c r="AF5" s="62"/>
      <c r="AG5" s="62"/>
      <c r="AH5" s="62"/>
      <c r="AI5" s="62"/>
      <c r="AJ5" s="62"/>
      <c r="AK5" s="62"/>
      <c r="AL5" s="62"/>
      <c r="AM5" s="62"/>
      <c r="AN5" s="62"/>
      <c r="BF5" s="61"/>
    </row>
    <row r="6" spans="1:58" s="60" customFormat="1" ht="11" hidden="1">
      <c r="A6" s="62"/>
      <c r="B6" s="62"/>
      <c r="C6" s="62"/>
      <c r="D6" s="62" t="s">
        <v>152</v>
      </c>
      <c r="E6" s="62"/>
      <c r="F6" s="62" t="s">
        <v>154</v>
      </c>
      <c r="G6" s="62"/>
      <c r="H6" s="218"/>
      <c r="I6" s="62" t="s">
        <v>192</v>
      </c>
      <c r="J6" s="62" t="s">
        <v>875</v>
      </c>
      <c r="K6" s="62" t="s">
        <v>875</v>
      </c>
      <c r="L6" s="62" t="s">
        <v>875</v>
      </c>
      <c r="M6" s="62"/>
      <c r="N6" s="62"/>
      <c r="O6" s="62">
        <v>2015</v>
      </c>
      <c r="P6" s="62"/>
      <c r="Q6" s="96"/>
      <c r="R6" s="62"/>
      <c r="S6" s="62"/>
      <c r="T6" s="62"/>
      <c r="U6" s="62"/>
      <c r="V6" s="62"/>
      <c r="W6" s="62" t="s">
        <v>165</v>
      </c>
      <c r="X6" s="62" t="s">
        <v>162</v>
      </c>
      <c r="Y6" s="62" t="s">
        <v>14</v>
      </c>
      <c r="Z6" s="62" t="s">
        <v>177</v>
      </c>
      <c r="AA6" s="62" t="s">
        <v>14</v>
      </c>
      <c r="AB6" s="62"/>
      <c r="AC6" s="62"/>
      <c r="AD6" s="62"/>
      <c r="AE6" s="99"/>
      <c r="AF6" s="62"/>
      <c r="AG6" s="62"/>
      <c r="AH6" s="62"/>
      <c r="AI6" s="62"/>
      <c r="AJ6" s="62"/>
      <c r="AK6" s="62"/>
      <c r="AL6" s="62"/>
      <c r="AM6" s="62"/>
      <c r="AN6" s="62"/>
      <c r="BF6" s="61"/>
    </row>
    <row r="7" spans="1:58" s="60" customFormat="1" ht="11" hidden="1">
      <c r="A7" s="62"/>
      <c r="B7" s="62"/>
      <c r="C7" s="62"/>
      <c r="D7" s="62"/>
      <c r="E7" s="62"/>
      <c r="F7" s="62" t="s">
        <v>115</v>
      </c>
      <c r="G7" s="62"/>
      <c r="H7" s="218"/>
      <c r="I7" s="62" t="s">
        <v>141</v>
      </c>
      <c r="J7" s="62" t="s">
        <v>197</v>
      </c>
      <c r="K7" s="62" t="s">
        <v>197</v>
      </c>
      <c r="L7" s="62" t="s">
        <v>197</v>
      </c>
      <c r="M7" s="62"/>
      <c r="N7" s="62"/>
      <c r="O7" s="62">
        <v>2016</v>
      </c>
      <c r="P7" s="62"/>
      <c r="Q7" s="96"/>
      <c r="R7" s="62"/>
      <c r="S7" s="62"/>
      <c r="T7" s="62"/>
      <c r="U7" s="62"/>
      <c r="V7" s="62"/>
      <c r="W7" s="62" t="s">
        <v>134</v>
      </c>
      <c r="X7" s="62" t="s">
        <v>165</v>
      </c>
      <c r="Y7" s="62"/>
      <c r="Z7" s="62" t="s">
        <v>14</v>
      </c>
      <c r="AA7" s="62" t="s">
        <v>67</v>
      </c>
      <c r="AB7" s="62"/>
      <c r="AC7" s="62"/>
      <c r="AD7" s="62"/>
      <c r="AE7" s="99"/>
      <c r="AF7" s="62"/>
      <c r="AG7" s="62"/>
      <c r="AH7" s="62"/>
      <c r="AI7" s="62"/>
      <c r="AJ7" s="62"/>
      <c r="AK7" s="62"/>
      <c r="AL7" s="62"/>
      <c r="AM7" s="62"/>
      <c r="AN7" s="62"/>
      <c r="BF7" s="61"/>
    </row>
    <row r="8" spans="1:58" s="60" customFormat="1" ht="11" hidden="1">
      <c r="A8" s="62"/>
      <c r="B8" s="62"/>
      <c r="C8" s="62"/>
      <c r="D8" s="62"/>
      <c r="E8" s="62"/>
      <c r="F8" s="62" t="s">
        <v>873</v>
      </c>
      <c r="G8" s="62"/>
      <c r="H8" s="218"/>
      <c r="I8" s="62" t="s">
        <v>875</v>
      </c>
      <c r="J8" s="62" t="s">
        <v>198</v>
      </c>
      <c r="K8" s="62" t="s">
        <v>198</v>
      </c>
      <c r="L8" s="62" t="s">
        <v>198</v>
      </c>
      <c r="M8" s="62"/>
      <c r="N8" s="62"/>
      <c r="O8" s="62" t="s">
        <v>880</v>
      </c>
      <c r="P8" s="62"/>
      <c r="Q8" s="96"/>
      <c r="R8" s="62"/>
      <c r="S8" s="62"/>
      <c r="T8" s="62"/>
      <c r="U8" s="62"/>
      <c r="V8" s="62"/>
      <c r="W8" s="62" t="s">
        <v>250</v>
      </c>
      <c r="X8" s="62" t="s">
        <v>250</v>
      </c>
      <c r="Y8" s="62"/>
      <c r="Z8" s="62" t="s">
        <v>67</v>
      </c>
      <c r="AA8" s="62"/>
      <c r="AB8" s="62"/>
      <c r="AC8" s="62"/>
      <c r="AD8" s="62"/>
      <c r="AE8" s="99"/>
      <c r="AF8" s="62"/>
      <c r="AG8" s="62"/>
      <c r="AH8" s="62"/>
      <c r="AI8" s="62"/>
      <c r="AJ8" s="62"/>
      <c r="AK8" s="62"/>
      <c r="AL8" s="62"/>
      <c r="AM8" s="62"/>
      <c r="AN8" s="62"/>
      <c r="BF8" s="61"/>
    </row>
    <row r="9" spans="1:58" s="60" customFormat="1" ht="11" hidden="1">
      <c r="A9" s="62"/>
      <c r="B9" s="62"/>
      <c r="C9" s="62"/>
      <c r="D9" s="62"/>
      <c r="E9" s="62"/>
      <c r="F9" s="62" t="s">
        <v>874</v>
      </c>
      <c r="G9" s="62"/>
      <c r="H9" s="218"/>
      <c r="I9" s="62" t="s">
        <v>876</v>
      </c>
      <c r="J9" s="62" t="s">
        <v>192</v>
      </c>
      <c r="K9" s="62" t="s">
        <v>192</v>
      </c>
      <c r="L9" s="62" t="s">
        <v>192</v>
      </c>
      <c r="M9" s="62"/>
      <c r="N9" s="62"/>
      <c r="O9" s="62" t="s">
        <v>808</v>
      </c>
      <c r="P9" s="62"/>
      <c r="Q9" s="96"/>
      <c r="R9" s="62"/>
      <c r="S9" s="62"/>
      <c r="T9" s="62"/>
      <c r="U9" s="62"/>
      <c r="V9" s="62"/>
      <c r="W9" s="62" t="s">
        <v>14</v>
      </c>
      <c r="X9" s="62" t="s">
        <v>14</v>
      </c>
      <c r="Y9" s="62"/>
      <c r="Z9" s="62"/>
      <c r="AA9" s="62"/>
      <c r="AB9" s="62"/>
      <c r="AC9" s="62"/>
      <c r="AD9" s="62"/>
      <c r="AE9" s="99"/>
      <c r="AF9" s="62"/>
      <c r="AG9" s="62"/>
      <c r="AH9" s="62"/>
      <c r="AI9" s="62"/>
      <c r="AJ9" s="62"/>
      <c r="AK9" s="62"/>
      <c r="AL9" s="62"/>
      <c r="AM9" s="62"/>
      <c r="AN9" s="62"/>
      <c r="BF9" s="61"/>
    </row>
    <row r="10" spans="1:58" s="60" customFormat="1" ht="11" hidden="1">
      <c r="A10" s="62"/>
      <c r="B10" s="62"/>
      <c r="C10" s="62"/>
      <c r="D10" s="62"/>
      <c r="E10" s="62"/>
      <c r="F10" s="62"/>
      <c r="G10" s="62"/>
      <c r="H10" s="218"/>
      <c r="I10" s="62" t="s">
        <v>878</v>
      </c>
      <c r="J10" s="62" t="s">
        <v>141</v>
      </c>
      <c r="K10" s="62" t="s">
        <v>141</v>
      </c>
      <c r="L10" s="62" t="s">
        <v>141</v>
      </c>
      <c r="M10" s="62"/>
      <c r="N10" s="62"/>
      <c r="O10" s="62" t="s">
        <v>808</v>
      </c>
      <c r="P10" s="62"/>
      <c r="Q10" s="96"/>
      <c r="R10" s="62"/>
      <c r="S10" s="62"/>
      <c r="T10" s="62"/>
      <c r="U10" s="62"/>
      <c r="V10" s="62"/>
      <c r="W10" s="62" t="s">
        <v>67</v>
      </c>
      <c r="X10" s="62" t="s">
        <v>67</v>
      </c>
      <c r="Y10" s="62"/>
      <c r="Z10" s="62"/>
      <c r="AA10" s="62"/>
      <c r="AB10" s="62"/>
      <c r="AC10" s="62"/>
      <c r="AD10" s="62"/>
      <c r="AE10" s="99"/>
      <c r="AF10" s="62"/>
      <c r="AG10" s="62"/>
      <c r="AH10" s="62"/>
      <c r="AI10" s="62"/>
      <c r="AJ10" s="62"/>
      <c r="AK10" s="62"/>
      <c r="AL10" s="62"/>
      <c r="AM10" s="62"/>
      <c r="AN10" s="62"/>
      <c r="BF10" s="61"/>
    </row>
    <row r="11" spans="1:58" s="60" customFormat="1" ht="11" hidden="1">
      <c r="A11" s="62"/>
      <c r="B11" s="62"/>
      <c r="C11" s="62"/>
      <c r="D11" s="62"/>
      <c r="E11" s="62"/>
      <c r="F11" s="62"/>
      <c r="G11" s="62"/>
      <c r="H11" s="218"/>
      <c r="I11" s="62"/>
      <c r="J11" s="62" t="s">
        <v>881</v>
      </c>
      <c r="K11" s="62" t="s">
        <v>881</v>
      </c>
      <c r="L11" s="62" t="s">
        <v>881</v>
      </c>
      <c r="M11" s="62"/>
      <c r="N11" s="62"/>
      <c r="O11" s="62"/>
      <c r="P11" s="62"/>
      <c r="Q11" s="96"/>
      <c r="R11" s="62"/>
      <c r="S11" s="62"/>
      <c r="T11" s="62"/>
      <c r="U11" s="62"/>
      <c r="V11" s="62"/>
      <c r="W11" s="62"/>
      <c r="X11" s="62"/>
      <c r="Y11" s="62"/>
      <c r="Z11" s="62"/>
      <c r="AA11" s="62"/>
      <c r="AB11" s="62"/>
      <c r="AC11" s="62"/>
      <c r="AD11" s="62"/>
      <c r="AE11" s="99"/>
      <c r="AF11" s="62"/>
      <c r="AG11" s="62"/>
      <c r="AH11" s="62"/>
      <c r="AI11" s="62"/>
      <c r="AJ11" s="62"/>
      <c r="AK11" s="62"/>
      <c r="AL11" s="62"/>
      <c r="AM11" s="62"/>
      <c r="AN11" s="62"/>
      <c r="BF11" s="61"/>
    </row>
    <row r="12" spans="1:58" s="60" customFormat="1" ht="11" hidden="1">
      <c r="A12" s="62"/>
      <c r="B12" s="62"/>
      <c r="C12" s="62"/>
      <c r="D12" s="62"/>
      <c r="E12" s="62"/>
      <c r="F12" s="62"/>
      <c r="G12" s="62"/>
      <c r="H12" s="218"/>
      <c r="I12" s="62"/>
      <c r="J12" s="62" t="s">
        <v>200</v>
      </c>
      <c r="K12" s="62" t="s">
        <v>200</v>
      </c>
      <c r="L12" s="62" t="s">
        <v>200</v>
      </c>
      <c r="M12" s="62"/>
      <c r="N12" s="62"/>
      <c r="O12" s="62"/>
      <c r="P12" s="62"/>
      <c r="Q12" s="96"/>
      <c r="R12" s="62"/>
      <c r="S12" s="62"/>
      <c r="T12" s="62"/>
      <c r="U12" s="62"/>
      <c r="V12" s="62"/>
      <c r="W12" s="62"/>
      <c r="X12" s="62"/>
      <c r="Y12" s="62"/>
      <c r="Z12" s="62"/>
      <c r="AA12" s="62"/>
      <c r="AB12" s="62"/>
      <c r="AC12" s="62"/>
      <c r="AD12" s="62"/>
      <c r="AE12" s="99"/>
      <c r="AF12" s="62"/>
      <c r="AG12" s="62"/>
      <c r="AH12" s="62"/>
      <c r="AI12" s="62"/>
      <c r="AJ12" s="62"/>
      <c r="AK12" s="62"/>
      <c r="AL12" s="62"/>
      <c r="AM12" s="62"/>
      <c r="AN12" s="62"/>
      <c r="BF12" s="61"/>
    </row>
    <row r="13" spans="1:58" s="60" customFormat="1" ht="11" hidden="1">
      <c r="A13" s="62"/>
      <c r="B13" s="62"/>
      <c r="C13" s="62"/>
      <c r="D13" s="62"/>
      <c r="E13" s="62"/>
      <c r="F13" s="62"/>
      <c r="G13" s="62"/>
      <c r="H13" s="218"/>
      <c r="I13" s="62"/>
      <c r="J13" s="62" t="s">
        <v>883</v>
      </c>
      <c r="K13" s="62" t="s">
        <v>883</v>
      </c>
      <c r="L13" s="62" t="s">
        <v>883</v>
      </c>
      <c r="M13" s="62"/>
      <c r="N13" s="62"/>
      <c r="O13" s="62"/>
      <c r="P13" s="62"/>
      <c r="Q13" s="96"/>
      <c r="R13" s="62"/>
      <c r="S13" s="62"/>
      <c r="T13" s="62"/>
      <c r="U13" s="62"/>
      <c r="V13" s="62"/>
      <c r="W13" s="62"/>
      <c r="X13" s="62"/>
      <c r="Y13" s="62"/>
      <c r="Z13" s="62"/>
      <c r="AA13" s="62"/>
      <c r="AB13" s="62"/>
      <c r="AC13" s="62"/>
      <c r="AD13" s="62"/>
      <c r="AE13" s="99"/>
      <c r="AF13" s="62"/>
      <c r="AG13" s="62"/>
      <c r="AH13" s="62"/>
      <c r="AI13" s="62"/>
      <c r="AJ13" s="62"/>
      <c r="AK13" s="62"/>
      <c r="AL13" s="62"/>
      <c r="AM13" s="62"/>
      <c r="AN13" s="62"/>
      <c r="BF13" s="61"/>
    </row>
    <row r="14" spans="1:58" s="60" customFormat="1" ht="11" hidden="1">
      <c r="A14" s="62"/>
      <c r="B14" s="62"/>
      <c r="C14" s="62"/>
      <c r="D14" s="62"/>
      <c r="E14" s="62"/>
      <c r="F14" s="62"/>
      <c r="G14" s="62"/>
      <c r="H14" s="218"/>
      <c r="I14" s="62"/>
      <c r="J14" s="62" t="s">
        <v>202</v>
      </c>
      <c r="K14" s="62" t="s">
        <v>202</v>
      </c>
      <c r="L14" s="62" t="s">
        <v>202</v>
      </c>
      <c r="M14" s="62"/>
      <c r="N14" s="62"/>
      <c r="O14" s="62"/>
      <c r="P14" s="62"/>
      <c r="Q14" s="96"/>
      <c r="R14" s="62"/>
      <c r="S14" s="62"/>
      <c r="T14" s="62"/>
      <c r="U14" s="62"/>
      <c r="V14" s="62"/>
      <c r="W14" s="62"/>
      <c r="X14" s="62"/>
      <c r="Y14" s="62"/>
      <c r="Z14" s="62"/>
      <c r="AA14" s="62"/>
      <c r="AB14" s="62"/>
      <c r="AC14" s="62"/>
      <c r="AD14" s="62"/>
      <c r="AE14" s="99"/>
      <c r="AF14" s="62"/>
      <c r="AG14" s="62"/>
      <c r="AH14" s="62"/>
      <c r="AI14" s="62"/>
      <c r="AJ14" s="62"/>
      <c r="AK14" s="62"/>
      <c r="AL14" s="62"/>
      <c r="AM14" s="62"/>
      <c r="AN14" s="62"/>
      <c r="BF14" s="61"/>
    </row>
    <row r="15" spans="1:58" s="60" customFormat="1" ht="11" hidden="1">
      <c r="A15" s="62"/>
      <c r="B15" s="62"/>
      <c r="C15" s="62"/>
      <c r="D15" s="62"/>
      <c r="E15" s="62"/>
      <c r="F15" s="62"/>
      <c r="G15" s="62"/>
      <c r="H15" s="218"/>
      <c r="I15" s="62"/>
      <c r="J15" s="62" t="s">
        <v>203</v>
      </c>
      <c r="K15" s="62" t="s">
        <v>203</v>
      </c>
      <c r="L15" s="62" t="s">
        <v>203</v>
      </c>
      <c r="M15" s="62"/>
      <c r="N15" s="62"/>
      <c r="O15" s="62"/>
      <c r="P15" s="62"/>
      <c r="Q15" s="96"/>
      <c r="R15" s="62"/>
      <c r="S15" s="62"/>
      <c r="T15" s="62"/>
      <c r="U15" s="62"/>
      <c r="V15" s="62"/>
      <c r="W15" s="62"/>
      <c r="X15" s="62"/>
      <c r="Y15" s="62"/>
      <c r="Z15" s="62"/>
      <c r="AA15" s="62"/>
      <c r="AB15" s="62"/>
      <c r="AC15" s="62"/>
      <c r="AD15" s="62"/>
      <c r="AE15" s="99"/>
      <c r="AF15" s="62"/>
      <c r="AG15" s="62"/>
      <c r="AH15" s="62"/>
      <c r="AI15" s="62"/>
      <c r="AJ15" s="62"/>
      <c r="AK15" s="62"/>
      <c r="AL15" s="62"/>
      <c r="AM15" s="62"/>
      <c r="AN15" s="62"/>
      <c r="BF15" s="61"/>
    </row>
    <row r="16" spans="1:58" s="60" customFormat="1" ht="11" hidden="1">
      <c r="A16" s="62"/>
      <c r="B16" s="62"/>
      <c r="C16" s="62"/>
      <c r="D16" s="62"/>
      <c r="E16" s="62"/>
      <c r="F16" s="62"/>
      <c r="G16" s="62"/>
      <c r="H16" s="218"/>
      <c r="I16" s="62"/>
      <c r="J16" s="62" t="s">
        <v>876</v>
      </c>
      <c r="K16" s="62" t="s">
        <v>876</v>
      </c>
      <c r="L16" s="62" t="s">
        <v>876</v>
      </c>
      <c r="M16" s="62"/>
      <c r="N16" s="62"/>
      <c r="O16" s="62"/>
      <c r="P16" s="62"/>
      <c r="Q16" s="96"/>
      <c r="R16" s="62"/>
      <c r="S16" s="62"/>
      <c r="T16" s="62"/>
      <c r="U16" s="62"/>
      <c r="V16" s="62"/>
      <c r="W16" s="62"/>
      <c r="X16" s="62"/>
      <c r="Y16" s="62"/>
      <c r="Z16" s="62"/>
      <c r="AA16" s="62"/>
      <c r="AB16" s="62"/>
      <c r="AC16" s="62"/>
      <c r="AD16" s="62"/>
      <c r="AE16" s="99"/>
      <c r="AF16" s="62"/>
      <c r="AG16" s="62"/>
      <c r="AH16" s="62"/>
      <c r="AI16" s="62"/>
      <c r="AJ16" s="62"/>
      <c r="AK16" s="62"/>
      <c r="AL16" s="62"/>
      <c r="AM16" s="62"/>
      <c r="AN16" s="62"/>
      <c r="BF16" s="61"/>
    </row>
    <row r="17" spans="1:66" s="60" customFormat="1" ht="11" hidden="1">
      <c r="A17" s="62"/>
      <c r="B17" s="62"/>
      <c r="C17" s="62"/>
      <c r="D17" s="62"/>
      <c r="E17" s="62"/>
      <c r="F17" s="62"/>
      <c r="G17" s="62"/>
      <c r="H17" s="218"/>
      <c r="I17" s="62"/>
      <c r="J17" s="62" t="s">
        <v>878</v>
      </c>
      <c r="K17" s="62" t="s">
        <v>878</v>
      </c>
      <c r="L17" s="62" t="s">
        <v>878</v>
      </c>
      <c r="M17" s="62"/>
      <c r="N17" s="62"/>
      <c r="O17" s="62"/>
      <c r="P17" s="62"/>
      <c r="Q17" s="96"/>
      <c r="R17" s="62"/>
      <c r="S17" s="62"/>
      <c r="T17" s="62"/>
      <c r="U17" s="62"/>
      <c r="V17" s="62"/>
      <c r="W17" s="62"/>
      <c r="X17" s="62"/>
      <c r="Y17" s="62"/>
      <c r="Z17" s="62"/>
      <c r="AA17" s="62"/>
      <c r="AB17" s="62"/>
      <c r="AC17" s="62"/>
      <c r="AD17" s="62"/>
      <c r="AE17" s="99"/>
      <c r="AF17" s="62"/>
      <c r="AG17" s="62"/>
      <c r="AH17" s="62"/>
      <c r="AI17" s="62"/>
      <c r="AJ17" s="62"/>
      <c r="AK17" s="62"/>
      <c r="AL17" s="62"/>
      <c r="AM17" s="62"/>
      <c r="AN17" s="62"/>
      <c r="BF17" s="61"/>
    </row>
    <row r="18" spans="1:66" s="60" customFormat="1" ht="11" hidden="1">
      <c r="A18" s="62"/>
      <c r="B18" s="62"/>
      <c r="C18" s="62"/>
      <c r="D18" s="62"/>
      <c r="E18" s="62"/>
      <c r="F18" s="62"/>
      <c r="G18" s="62"/>
      <c r="H18" s="218"/>
      <c r="I18" s="62"/>
      <c r="J18" s="62" t="s">
        <v>879</v>
      </c>
      <c r="K18" s="62" t="s">
        <v>879</v>
      </c>
      <c r="L18" s="62" t="s">
        <v>879</v>
      </c>
      <c r="M18" s="62"/>
      <c r="N18" s="62"/>
      <c r="O18" s="62"/>
      <c r="P18" s="62"/>
      <c r="Q18" s="96"/>
      <c r="R18" s="62"/>
      <c r="S18" s="62"/>
      <c r="T18" s="62"/>
      <c r="U18" s="62"/>
      <c r="V18" s="62"/>
      <c r="W18" s="62"/>
      <c r="X18" s="62"/>
      <c r="Y18" s="62"/>
      <c r="Z18" s="62"/>
      <c r="AA18" s="62"/>
      <c r="AB18" s="62"/>
      <c r="AC18" s="62"/>
      <c r="AD18" s="62"/>
      <c r="AE18" s="99"/>
      <c r="AF18" s="62"/>
      <c r="AG18" s="62"/>
      <c r="AH18" s="62"/>
      <c r="AI18" s="62"/>
      <c r="AJ18" s="62"/>
      <c r="AK18" s="62"/>
      <c r="AL18" s="62"/>
      <c r="AM18" s="62"/>
      <c r="AN18" s="62"/>
      <c r="BF18" s="61"/>
    </row>
    <row r="19" spans="1:66" s="60" customFormat="1" ht="11" hidden="1">
      <c r="A19" s="62"/>
      <c r="B19" s="62"/>
      <c r="C19" s="62"/>
      <c r="D19" s="62"/>
      <c r="E19" s="62"/>
      <c r="F19" s="62"/>
      <c r="G19" s="62"/>
      <c r="H19" s="218"/>
      <c r="I19" s="62"/>
      <c r="J19" s="62"/>
      <c r="K19" s="62"/>
      <c r="L19" s="62"/>
      <c r="M19" s="62"/>
      <c r="N19" s="62"/>
      <c r="O19" s="62"/>
      <c r="P19" s="62"/>
      <c r="Q19" s="96"/>
      <c r="R19" s="62"/>
      <c r="S19" s="62"/>
      <c r="T19" s="62"/>
      <c r="U19" s="62"/>
      <c r="V19" s="62"/>
      <c r="W19" s="62"/>
      <c r="X19" s="62"/>
      <c r="Y19" s="62"/>
      <c r="Z19" s="62"/>
      <c r="AA19" s="62"/>
      <c r="AB19" s="62"/>
      <c r="AC19" s="62"/>
      <c r="AD19" s="62"/>
      <c r="AE19" s="99"/>
      <c r="AF19" s="62"/>
      <c r="AG19" s="62"/>
      <c r="AH19" s="62"/>
      <c r="AI19" s="62"/>
      <c r="AJ19" s="62"/>
      <c r="AK19" s="62"/>
      <c r="AL19" s="62"/>
      <c r="AM19" s="62"/>
      <c r="AN19" s="62"/>
      <c r="BF19" s="61"/>
    </row>
    <row r="20" spans="1:66" s="60" customFormat="1" ht="11" hidden="1">
      <c r="A20" s="62"/>
      <c r="B20" s="62"/>
      <c r="C20" s="62"/>
      <c r="D20" s="62"/>
      <c r="E20" s="62"/>
      <c r="F20" s="62"/>
      <c r="G20" s="62"/>
      <c r="H20" s="218"/>
      <c r="I20" s="62"/>
      <c r="J20" s="62"/>
      <c r="K20" s="62"/>
      <c r="L20" s="62"/>
      <c r="M20" s="62"/>
      <c r="N20" s="62"/>
      <c r="O20" s="62"/>
      <c r="P20" s="62"/>
      <c r="Q20" s="96"/>
      <c r="R20" s="62"/>
      <c r="S20" s="62"/>
      <c r="T20" s="62"/>
      <c r="U20" s="62"/>
      <c r="V20" s="62"/>
      <c r="W20" s="62"/>
      <c r="X20" s="62"/>
      <c r="Y20" s="62"/>
      <c r="Z20" s="62"/>
      <c r="AA20" s="62"/>
      <c r="AB20" s="62"/>
      <c r="AC20" s="62"/>
      <c r="AD20" s="62"/>
      <c r="AE20" s="99"/>
      <c r="AF20" s="62"/>
      <c r="AG20" s="62"/>
      <c r="AH20" s="62"/>
      <c r="AI20" s="62"/>
      <c r="AJ20" s="62"/>
      <c r="AK20" s="62"/>
      <c r="AL20" s="62"/>
      <c r="AM20" s="62"/>
      <c r="AN20" s="62"/>
      <c r="BF20" s="61"/>
    </row>
    <row r="21" spans="1:66" s="60" customFormat="1" ht="11" hidden="1">
      <c r="A21" s="62"/>
      <c r="B21" s="62"/>
      <c r="C21" s="62"/>
      <c r="D21" s="62"/>
      <c r="E21" s="62"/>
      <c r="F21" s="62"/>
      <c r="G21" s="62"/>
      <c r="H21" s="218"/>
      <c r="I21" s="62"/>
      <c r="J21" s="62"/>
      <c r="K21" s="62"/>
      <c r="L21" s="62"/>
      <c r="M21" s="62"/>
      <c r="N21" s="62"/>
      <c r="O21" s="62"/>
      <c r="P21" s="62"/>
      <c r="Q21" s="96"/>
      <c r="R21" s="62"/>
      <c r="S21" s="62"/>
      <c r="T21" s="62"/>
      <c r="U21" s="62"/>
      <c r="V21" s="62"/>
      <c r="W21" s="62"/>
      <c r="X21" s="62"/>
      <c r="Y21" s="62"/>
      <c r="Z21" s="62"/>
      <c r="AA21" s="62"/>
      <c r="AB21" s="62"/>
      <c r="AC21" s="62"/>
      <c r="AD21" s="62"/>
      <c r="AE21" s="99"/>
      <c r="AF21" s="62"/>
      <c r="AG21" s="62"/>
      <c r="AH21" s="62"/>
      <c r="AI21" s="62"/>
      <c r="AJ21" s="62"/>
      <c r="AK21" s="62"/>
      <c r="AL21" s="62"/>
      <c r="AM21" s="62"/>
      <c r="AN21" s="62"/>
      <c r="BF21" s="61"/>
    </row>
    <row r="22" spans="1:66" s="60" customFormat="1" ht="11" hidden="1">
      <c r="A22" s="62"/>
      <c r="B22" s="62"/>
      <c r="C22" s="62"/>
      <c r="D22" s="62"/>
      <c r="E22" s="62"/>
      <c r="F22" s="62"/>
      <c r="G22" s="62"/>
      <c r="H22" s="218"/>
      <c r="I22" s="62"/>
      <c r="J22" s="62"/>
      <c r="K22" s="62"/>
      <c r="L22" s="62"/>
      <c r="M22" s="62"/>
      <c r="N22" s="62"/>
      <c r="O22" s="62"/>
      <c r="P22" s="62"/>
      <c r="Q22" s="96"/>
      <c r="R22" s="62"/>
      <c r="S22" s="62"/>
      <c r="T22" s="62"/>
      <c r="U22" s="62"/>
      <c r="V22" s="62"/>
      <c r="W22" s="62"/>
      <c r="X22" s="62"/>
      <c r="Y22" s="62"/>
      <c r="Z22" s="62"/>
      <c r="AA22" s="62"/>
      <c r="AB22" s="62"/>
      <c r="AC22" s="62"/>
      <c r="AD22" s="62"/>
      <c r="AE22" s="99"/>
      <c r="AF22" s="62"/>
      <c r="AG22" s="62"/>
      <c r="AH22" s="62"/>
      <c r="AI22" s="62"/>
      <c r="AJ22" s="62"/>
      <c r="AK22" s="62"/>
      <c r="AL22" s="62"/>
      <c r="AM22" s="62"/>
      <c r="AN22" s="62"/>
      <c r="BF22" s="61"/>
    </row>
    <row r="23" spans="1:66" ht="21" customHeight="1">
      <c r="A23" s="481" t="s">
        <v>38</v>
      </c>
      <c r="B23" s="64"/>
      <c r="C23" s="64"/>
      <c r="D23" s="64"/>
      <c r="E23" s="64"/>
      <c r="F23" s="64"/>
      <c r="G23" s="64"/>
      <c r="H23" s="219"/>
      <c r="I23" s="64"/>
      <c r="J23" s="64"/>
      <c r="K23" s="64"/>
      <c r="L23" s="64"/>
      <c r="M23" s="64"/>
      <c r="N23" s="64"/>
      <c r="O23" s="64"/>
      <c r="P23" s="64"/>
      <c r="Q23" s="95"/>
      <c r="R23" s="64"/>
      <c r="S23" s="64"/>
      <c r="T23" s="64"/>
      <c r="U23" s="64"/>
      <c r="V23" s="64"/>
      <c r="W23" s="64"/>
      <c r="X23" s="64"/>
      <c r="Y23" s="64"/>
      <c r="Z23" s="64"/>
      <c r="AA23" s="64"/>
      <c r="AB23" s="64"/>
      <c r="AC23" s="64"/>
      <c r="AD23" s="64"/>
      <c r="AE23" s="116"/>
      <c r="AF23" s="64"/>
      <c r="AG23" s="64"/>
      <c r="AH23" s="64"/>
      <c r="AI23" s="64"/>
      <c r="AJ23" s="64"/>
      <c r="AK23" s="64"/>
      <c r="AL23" s="64"/>
      <c r="AM23" s="64"/>
      <c r="AN23" s="64"/>
    </row>
    <row r="24" spans="1:66" s="60" customFormat="1" ht="15.75" customHeight="1" thickBot="1">
      <c r="A24" s="62"/>
      <c r="B24" s="62"/>
      <c r="C24" s="62"/>
      <c r="D24" s="62"/>
      <c r="E24" s="62"/>
      <c r="F24" s="62"/>
      <c r="G24" s="62"/>
      <c r="H24" s="218"/>
      <c r="I24" s="62"/>
      <c r="J24" s="62"/>
      <c r="K24" s="62"/>
      <c r="L24" s="62"/>
      <c r="M24" s="62"/>
      <c r="N24" s="62"/>
      <c r="O24" s="62"/>
      <c r="P24" s="62"/>
      <c r="Q24" s="96"/>
      <c r="R24" s="62"/>
      <c r="S24" s="62"/>
      <c r="T24" s="62"/>
      <c r="U24" s="62"/>
      <c r="V24" s="62"/>
      <c r="W24" s="62"/>
      <c r="X24" s="62"/>
      <c r="Y24" s="62"/>
      <c r="Z24" s="62"/>
      <c r="AA24" s="62"/>
      <c r="AB24" s="62"/>
      <c r="AC24" s="62"/>
      <c r="AD24" s="62"/>
      <c r="AE24" s="99"/>
      <c r="AF24" s="62"/>
      <c r="AG24" s="62"/>
      <c r="AH24" s="62"/>
      <c r="AI24" s="62"/>
      <c r="AJ24" s="62"/>
      <c r="AK24" s="62"/>
      <c r="AL24" s="62"/>
      <c r="AM24" s="62"/>
      <c r="AN24" s="62"/>
      <c r="AO24" s="756" t="s">
        <v>240</v>
      </c>
      <c r="AP24" s="757"/>
      <c r="AQ24" s="757"/>
      <c r="AR24" s="757"/>
      <c r="AS24" s="757"/>
      <c r="AT24" s="757"/>
      <c r="AU24" s="757"/>
      <c r="AV24" s="757"/>
      <c r="AW24" s="757"/>
      <c r="AX24" s="757"/>
      <c r="AY24" s="757"/>
      <c r="AZ24" s="757"/>
      <c r="BA24" s="757"/>
      <c r="BB24" s="757"/>
      <c r="BC24" s="757"/>
      <c r="BD24" s="757"/>
      <c r="BE24" s="757"/>
      <c r="BF24" s="757"/>
      <c r="BG24" s="757"/>
      <c r="BH24" s="757"/>
      <c r="BI24" s="757"/>
      <c r="BJ24" s="757"/>
      <c r="BK24" s="757"/>
      <c r="BL24" s="757"/>
      <c r="BM24" s="757"/>
      <c r="BN24" s="176"/>
    </row>
    <row r="25" spans="1:66" s="67" customFormat="1" ht="49" thickTop="1">
      <c r="A25" s="140" t="s">
        <v>0</v>
      </c>
      <c r="B25" s="141" t="s">
        <v>91</v>
      </c>
      <c r="C25" s="141" t="s">
        <v>1</v>
      </c>
      <c r="D25" s="141" t="s">
        <v>9</v>
      </c>
      <c r="E25" s="141" t="s">
        <v>870</v>
      </c>
      <c r="F25" s="141" t="s">
        <v>46</v>
      </c>
      <c r="G25" s="141" t="s">
        <v>241</v>
      </c>
      <c r="H25" s="141" t="s">
        <v>24</v>
      </c>
      <c r="I25" s="141" t="s">
        <v>182</v>
      </c>
      <c r="J25" s="141" t="s">
        <v>183</v>
      </c>
      <c r="K25" s="141" t="s">
        <v>184</v>
      </c>
      <c r="L25" s="141" t="s">
        <v>185</v>
      </c>
      <c r="M25" s="141" t="s">
        <v>2</v>
      </c>
      <c r="N25" s="141" t="s">
        <v>599</v>
      </c>
      <c r="O25" s="141" t="s">
        <v>231</v>
      </c>
      <c r="P25" s="141" t="s">
        <v>142</v>
      </c>
      <c r="Q25" s="142" t="s">
        <v>186</v>
      </c>
      <c r="R25" s="141" t="s">
        <v>187</v>
      </c>
      <c r="S25" s="141" t="s">
        <v>188</v>
      </c>
      <c r="T25" s="141" t="s">
        <v>215</v>
      </c>
      <c r="U25" s="141" t="s">
        <v>28</v>
      </c>
      <c r="V25" s="141" t="s">
        <v>157</v>
      </c>
      <c r="W25" s="141" t="s">
        <v>158</v>
      </c>
      <c r="X25" s="141" t="s">
        <v>159</v>
      </c>
      <c r="Y25" s="141" t="s">
        <v>160</v>
      </c>
      <c r="Z25" s="141" t="s">
        <v>172</v>
      </c>
      <c r="AA25" s="141" t="s">
        <v>181</v>
      </c>
      <c r="AB25" s="141" t="s">
        <v>27</v>
      </c>
      <c r="AC25" s="141" t="s">
        <v>251</v>
      </c>
      <c r="AD25" s="141" t="s">
        <v>254</v>
      </c>
      <c r="AE25" s="143" t="s">
        <v>92</v>
      </c>
      <c r="AF25" s="141" t="s">
        <v>252</v>
      </c>
      <c r="AG25" s="141" t="s">
        <v>602</v>
      </c>
      <c r="AH25" s="141" t="s">
        <v>259</v>
      </c>
      <c r="AI25" s="141" t="s">
        <v>90</v>
      </c>
      <c r="AJ25" s="141" t="s">
        <v>260</v>
      </c>
      <c r="AK25" s="141" t="s">
        <v>253</v>
      </c>
      <c r="AL25" s="141" t="s">
        <v>13</v>
      </c>
      <c r="AM25" s="141" t="s">
        <v>234</v>
      </c>
      <c r="AN25" s="141" t="s">
        <v>15</v>
      </c>
      <c r="AO25" s="169">
        <v>2008</v>
      </c>
      <c r="AP25" s="170">
        <f t="shared" ref="AP25:BM25" si="0">AO25+1</f>
        <v>2009</v>
      </c>
      <c r="AQ25" s="170">
        <f t="shared" si="0"/>
        <v>2010</v>
      </c>
      <c r="AR25" s="170">
        <f t="shared" si="0"/>
        <v>2011</v>
      </c>
      <c r="AS25" s="473" t="s">
        <v>579</v>
      </c>
      <c r="AT25" s="474" t="s">
        <v>580</v>
      </c>
      <c r="AU25" s="474" t="s">
        <v>762</v>
      </c>
      <c r="AV25" s="474">
        <v>41000</v>
      </c>
      <c r="AW25" s="474">
        <v>41030</v>
      </c>
      <c r="AX25" s="474">
        <v>41061</v>
      </c>
      <c r="AY25" s="474">
        <v>41091</v>
      </c>
      <c r="AZ25" s="474">
        <v>41122</v>
      </c>
      <c r="BA25" s="474">
        <v>41153</v>
      </c>
      <c r="BB25" s="474">
        <v>41183</v>
      </c>
      <c r="BC25" s="474">
        <v>41214</v>
      </c>
      <c r="BD25" s="474">
        <v>41244</v>
      </c>
      <c r="BE25" s="170">
        <f>AR25+1</f>
        <v>2012</v>
      </c>
      <c r="BF25" s="171" t="s">
        <v>207</v>
      </c>
      <c r="BG25" s="478" t="s">
        <v>120</v>
      </c>
      <c r="BH25" s="170">
        <f>BE25+1</f>
        <v>2013</v>
      </c>
      <c r="BI25" s="170">
        <f t="shared" si="0"/>
        <v>2014</v>
      </c>
      <c r="BJ25" s="170">
        <f t="shared" si="0"/>
        <v>2015</v>
      </c>
      <c r="BK25" s="170">
        <f t="shared" si="0"/>
        <v>2016</v>
      </c>
      <c r="BL25" s="170">
        <f t="shared" si="0"/>
        <v>2017</v>
      </c>
      <c r="BM25" s="170">
        <f t="shared" si="0"/>
        <v>2018</v>
      </c>
    </row>
    <row r="26" spans="1:66" s="77" customFormat="1" ht="32">
      <c r="A26" s="372" t="s">
        <v>242</v>
      </c>
      <c r="B26" s="145" t="s">
        <v>110</v>
      </c>
      <c r="C26" s="145" t="s">
        <v>8</v>
      </c>
      <c r="D26" s="145" t="s">
        <v>248</v>
      </c>
      <c r="E26" s="145" t="s">
        <v>871</v>
      </c>
      <c r="F26" s="145" t="s">
        <v>115</v>
      </c>
      <c r="G26" s="146">
        <v>1</v>
      </c>
      <c r="H26" s="220">
        <v>8980000</v>
      </c>
      <c r="I26" s="147" t="s">
        <v>192</v>
      </c>
      <c r="J26" s="148" t="s">
        <v>199</v>
      </c>
      <c r="K26" s="148" t="s">
        <v>199</v>
      </c>
      <c r="L26" s="148" t="s">
        <v>199</v>
      </c>
      <c r="M26" s="206">
        <v>2011</v>
      </c>
      <c r="N26" s="598" t="s">
        <v>765</v>
      </c>
      <c r="O26" s="206">
        <v>2012</v>
      </c>
      <c r="P26" s="207">
        <v>41244</v>
      </c>
      <c r="Q26" s="210">
        <v>0</v>
      </c>
      <c r="R26" s="207">
        <v>41244</v>
      </c>
      <c r="S26" s="207">
        <v>41883</v>
      </c>
      <c r="T26" s="208">
        <v>125</v>
      </c>
      <c r="U26" s="145" t="s">
        <v>88</v>
      </c>
      <c r="V26" s="145" t="s">
        <v>156</v>
      </c>
      <c r="W26" s="145" t="s">
        <v>134</v>
      </c>
      <c r="X26" s="206" t="s">
        <v>165</v>
      </c>
      <c r="Y26" s="145" t="s">
        <v>156</v>
      </c>
      <c r="Z26" s="145" t="s">
        <v>175</v>
      </c>
      <c r="AA26" s="145" t="s">
        <v>14</v>
      </c>
      <c r="AB26" s="152">
        <v>52200000</v>
      </c>
      <c r="AC26" s="150">
        <f t="shared" ref="AC26:AC34" si="1">AD26*10</f>
        <v>17540000</v>
      </c>
      <c r="AD26" s="152">
        <v>1754000</v>
      </c>
      <c r="AE26" s="205">
        <v>0.9</v>
      </c>
      <c r="AF26" s="150">
        <f>(AC26)*AE26</f>
        <v>15786000</v>
      </c>
      <c r="AG26" s="599" t="s">
        <v>14</v>
      </c>
      <c r="AH26" s="152">
        <v>5176969</v>
      </c>
      <c r="AI26" s="150">
        <f>AH26*0.25</f>
        <v>1294242.25</v>
      </c>
      <c r="AJ26" s="150">
        <f t="shared" ref="AJ26:AJ33" si="2">AH26-AI26</f>
        <v>3882726.75</v>
      </c>
      <c r="AK26" s="150"/>
      <c r="AL26" s="148">
        <v>1</v>
      </c>
      <c r="AM26" s="148" t="s">
        <v>235</v>
      </c>
      <c r="AN26" s="428" t="s">
        <v>578</v>
      </c>
      <c r="AO26" s="153"/>
      <c r="AP26" s="153"/>
      <c r="AQ26" s="153"/>
      <c r="AR26" s="153"/>
      <c r="AS26" s="465"/>
      <c r="AT26" s="430"/>
      <c r="AU26" s="430"/>
      <c r="AV26" s="153"/>
      <c r="AW26" s="153"/>
      <c r="AX26" s="153"/>
      <c r="AY26" s="153"/>
      <c r="AZ26" s="153"/>
      <c r="BA26" s="153"/>
      <c r="BB26" s="153">
        <v>970682</v>
      </c>
      <c r="BC26" s="153"/>
      <c r="BD26" s="153"/>
      <c r="BE26" s="479">
        <f>SUM(AS26:BD26)</f>
        <v>970682</v>
      </c>
      <c r="BF26" s="210">
        <v>0.5</v>
      </c>
      <c r="BG26" s="475">
        <f t="shared" ref="BG26:BG32" si="3">BE26*(1-BF26)</f>
        <v>485341</v>
      </c>
      <c r="BH26" s="204"/>
      <c r="BI26" s="204">
        <f>AJ26*0.5</f>
        <v>1941363.375</v>
      </c>
      <c r="BJ26" s="204">
        <f>AJ26-BE26-BI26</f>
        <v>970681.375</v>
      </c>
      <c r="BK26" s="153"/>
      <c r="BL26" s="153"/>
      <c r="BM26" s="153"/>
      <c r="BN26" s="175"/>
    </row>
    <row r="27" spans="1:66" s="77" customFormat="1" ht="32">
      <c r="A27" s="372" t="s">
        <v>39</v>
      </c>
      <c r="B27" s="145" t="s">
        <v>123</v>
      </c>
      <c r="C27" s="145" t="s">
        <v>40</v>
      </c>
      <c r="D27" s="145" t="s">
        <v>111</v>
      </c>
      <c r="E27" s="145" t="s">
        <v>872</v>
      </c>
      <c r="F27" s="145" t="s">
        <v>154</v>
      </c>
      <c r="G27" s="146">
        <v>1</v>
      </c>
      <c r="H27" s="220">
        <v>1600000</v>
      </c>
      <c r="I27" s="147" t="s">
        <v>141</v>
      </c>
      <c r="J27" s="148" t="s">
        <v>199</v>
      </c>
      <c r="K27" s="148" t="s">
        <v>189</v>
      </c>
      <c r="L27" s="148" t="s">
        <v>67</v>
      </c>
      <c r="M27" s="206">
        <v>2008</v>
      </c>
      <c r="N27" s="596">
        <v>2009</v>
      </c>
      <c r="O27" s="206">
        <v>2009</v>
      </c>
      <c r="P27" s="207">
        <v>40057</v>
      </c>
      <c r="Q27" s="210">
        <v>1</v>
      </c>
      <c r="R27" s="207">
        <v>40057</v>
      </c>
      <c r="S27" s="207">
        <v>40422</v>
      </c>
      <c r="T27" s="146">
        <v>70</v>
      </c>
      <c r="U27" s="206" t="s">
        <v>245</v>
      </c>
      <c r="V27" s="145" t="s">
        <v>155</v>
      </c>
      <c r="W27" s="145" t="s">
        <v>164</v>
      </c>
      <c r="X27" s="145" t="s">
        <v>67</v>
      </c>
      <c r="Y27" s="145" t="s">
        <v>170</v>
      </c>
      <c r="Z27" s="145" t="s">
        <v>175</v>
      </c>
      <c r="AA27" s="145" t="s">
        <v>179</v>
      </c>
      <c r="AB27" s="152">
        <v>16101522</v>
      </c>
      <c r="AC27" s="150">
        <f t="shared" si="1"/>
        <v>10908330</v>
      </c>
      <c r="AD27" s="152">
        <v>1090833</v>
      </c>
      <c r="AE27" s="205">
        <v>0.74</v>
      </c>
      <c r="AF27" s="152">
        <v>8104760</v>
      </c>
      <c r="AG27" s="599" t="s">
        <v>758</v>
      </c>
      <c r="AH27" s="152">
        <v>1129550</v>
      </c>
      <c r="AI27" s="152">
        <v>0</v>
      </c>
      <c r="AJ27" s="150">
        <f t="shared" si="2"/>
        <v>1129550</v>
      </c>
      <c r="AK27" s="150"/>
      <c r="AL27" s="148">
        <f>63/70</f>
        <v>0.9</v>
      </c>
      <c r="AM27" s="148" t="s">
        <v>235</v>
      </c>
      <c r="AN27" s="145" t="s">
        <v>17</v>
      </c>
      <c r="AO27" s="153"/>
      <c r="AP27" s="204">
        <v>204386</v>
      </c>
      <c r="AQ27" s="204">
        <v>190760.5</v>
      </c>
      <c r="AR27" s="153">
        <v>192403</v>
      </c>
      <c r="AS27" s="465"/>
      <c r="AT27" s="430"/>
      <c r="AU27" s="430"/>
      <c r="AV27" s="153">
        <v>540000</v>
      </c>
      <c r="AW27" s="153"/>
      <c r="AX27" s="153"/>
      <c r="AY27" s="153"/>
      <c r="AZ27" s="153"/>
      <c r="BA27" s="153"/>
      <c r="BB27" s="153"/>
      <c r="BC27" s="153"/>
      <c r="BD27" s="153"/>
      <c r="BE27" s="479">
        <f t="shared" ref="BE27:BE55" si="4">SUM(AS27:BD27)</f>
        <v>540000</v>
      </c>
      <c r="BF27" s="210">
        <v>0.25</v>
      </c>
      <c r="BG27" s="475">
        <f t="shared" si="3"/>
        <v>405000</v>
      </c>
      <c r="BH27" s="204"/>
      <c r="BI27" s="204"/>
      <c r="BJ27" s="204"/>
      <c r="BK27" s="153"/>
      <c r="BL27" s="153"/>
      <c r="BM27" s="153"/>
    </row>
    <row r="28" spans="1:66" s="77" customFormat="1" ht="48">
      <c r="A28" s="372" t="s">
        <v>3</v>
      </c>
      <c r="B28" s="428" t="s">
        <v>123</v>
      </c>
      <c r="C28" s="145" t="s">
        <v>4</v>
      </c>
      <c r="D28" s="145" t="s">
        <v>111</v>
      </c>
      <c r="E28" s="145" t="s">
        <v>871</v>
      </c>
      <c r="F28" s="145" t="s">
        <v>116</v>
      </c>
      <c r="G28" s="146">
        <v>1</v>
      </c>
      <c r="H28" s="220">
        <v>730000</v>
      </c>
      <c r="I28" s="147" t="s">
        <v>141</v>
      </c>
      <c r="J28" s="148" t="s">
        <v>193</v>
      </c>
      <c r="K28" s="148" t="s">
        <v>189</v>
      </c>
      <c r="L28" s="210" t="s">
        <v>189</v>
      </c>
      <c r="M28" s="206">
        <v>2011</v>
      </c>
      <c r="N28" s="596">
        <v>2009</v>
      </c>
      <c r="O28" s="206">
        <v>2011</v>
      </c>
      <c r="P28" s="207">
        <v>40849</v>
      </c>
      <c r="Q28" s="210">
        <v>0.4</v>
      </c>
      <c r="R28" s="207">
        <v>40848</v>
      </c>
      <c r="S28" s="207">
        <v>41214</v>
      </c>
      <c r="T28" s="146">
        <v>70</v>
      </c>
      <c r="U28" s="145" t="s">
        <v>30</v>
      </c>
      <c r="V28" s="145" t="s">
        <v>155</v>
      </c>
      <c r="W28" s="145" t="s">
        <v>164</v>
      </c>
      <c r="X28" s="145" t="s">
        <v>166</v>
      </c>
      <c r="Y28" s="145" t="s">
        <v>170</v>
      </c>
      <c r="Z28" s="145" t="s">
        <v>175</v>
      </c>
      <c r="AA28" s="145" t="s">
        <v>14</v>
      </c>
      <c r="AB28" s="152">
        <v>21400000</v>
      </c>
      <c r="AC28" s="150">
        <f t="shared" si="1"/>
        <v>20607000</v>
      </c>
      <c r="AD28" s="152">
        <v>2060700</v>
      </c>
      <c r="AE28" s="205">
        <v>0.93</v>
      </c>
      <c r="AF28" s="150">
        <f>AC28*AE28</f>
        <v>19164510</v>
      </c>
      <c r="AG28" s="599" t="s">
        <v>759</v>
      </c>
      <c r="AH28" s="152">
        <v>2030316</v>
      </c>
      <c r="AI28" s="150">
        <f>AH28*0.25</f>
        <v>507579</v>
      </c>
      <c r="AJ28" s="150">
        <f t="shared" si="2"/>
        <v>1522737</v>
      </c>
      <c r="AK28" s="150"/>
      <c r="AL28" s="148">
        <v>1</v>
      </c>
      <c r="AM28" s="148" t="s">
        <v>235</v>
      </c>
      <c r="AN28" s="145" t="s">
        <v>16</v>
      </c>
      <c r="AO28" s="153"/>
      <c r="AP28" s="153"/>
      <c r="AQ28" s="153"/>
      <c r="AR28" s="153">
        <v>445719</v>
      </c>
      <c r="AS28" s="465"/>
      <c r="AT28" s="430"/>
      <c r="AU28" s="430"/>
      <c r="AV28" s="153"/>
      <c r="AW28" s="153"/>
      <c r="AX28" s="153"/>
      <c r="AY28" s="153"/>
      <c r="AZ28" s="153"/>
      <c r="BA28" s="153">
        <v>599488</v>
      </c>
      <c r="BB28" s="153"/>
      <c r="BC28" s="153"/>
      <c r="BD28" s="153"/>
      <c r="BE28" s="479">
        <f t="shared" si="4"/>
        <v>599488</v>
      </c>
      <c r="BF28" s="210">
        <v>0.9</v>
      </c>
      <c r="BG28" s="475">
        <f t="shared" si="3"/>
        <v>59948.799999999988</v>
      </c>
      <c r="BH28" s="204">
        <v>477530</v>
      </c>
      <c r="BI28" s="204"/>
      <c r="BJ28" s="204"/>
      <c r="BK28" s="153"/>
      <c r="BL28" s="153"/>
      <c r="BM28" s="153"/>
    </row>
    <row r="29" spans="1:66" s="77" customFormat="1" ht="32">
      <c r="A29" s="372" t="s">
        <v>113</v>
      </c>
      <c r="B29" s="145" t="s">
        <v>118</v>
      </c>
      <c r="C29" s="145" t="s">
        <v>20</v>
      </c>
      <c r="D29" s="145" t="s">
        <v>248</v>
      </c>
      <c r="E29" s="145" t="s">
        <v>871</v>
      </c>
      <c r="F29" s="145" t="s">
        <v>154</v>
      </c>
      <c r="G29" s="146">
        <v>1</v>
      </c>
      <c r="H29" s="220">
        <v>798500</v>
      </c>
      <c r="I29" s="147" t="s">
        <v>141</v>
      </c>
      <c r="J29" s="148" t="s">
        <v>203</v>
      </c>
      <c r="K29" s="148" t="s">
        <v>193</v>
      </c>
      <c r="L29" s="148" t="s">
        <v>199</v>
      </c>
      <c r="M29" s="206" t="s">
        <v>21</v>
      </c>
      <c r="N29" s="596">
        <v>2009</v>
      </c>
      <c r="O29" s="206">
        <v>2009</v>
      </c>
      <c r="P29" s="207">
        <v>40148</v>
      </c>
      <c r="Q29" s="210">
        <v>1</v>
      </c>
      <c r="R29" s="207">
        <v>40118</v>
      </c>
      <c r="S29" s="207">
        <v>40452</v>
      </c>
      <c r="T29" s="146">
        <v>91</v>
      </c>
      <c r="U29" s="145" t="s">
        <v>31</v>
      </c>
      <c r="V29" s="145" t="s">
        <v>138</v>
      </c>
      <c r="W29" s="145" t="s">
        <v>162</v>
      </c>
      <c r="X29" s="145" t="s">
        <v>169</v>
      </c>
      <c r="Y29" s="145" t="s">
        <v>171</v>
      </c>
      <c r="Z29" s="145" t="s">
        <v>174</v>
      </c>
      <c r="AA29" s="145" t="s">
        <v>178</v>
      </c>
      <c r="AB29" s="152">
        <v>13848000</v>
      </c>
      <c r="AC29" s="150">
        <f t="shared" si="1"/>
        <v>13750000</v>
      </c>
      <c r="AD29" s="154">
        <v>1375000</v>
      </c>
      <c r="AE29" s="214">
        <v>0.69</v>
      </c>
      <c r="AF29" s="154">
        <v>9486600</v>
      </c>
      <c r="AG29" s="599" t="s">
        <v>760</v>
      </c>
      <c r="AH29" s="154">
        <v>1436566.7356179999</v>
      </c>
      <c r="AI29" s="154">
        <v>0</v>
      </c>
      <c r="AJ29" s="150">
        <f t="shared" si="2"/>
        <v>1436566.7356179999</v>
      </c>
      <c r="AK29" s="172"/>
      <c r="AL29" s="148">
        <v>1</v>
      </c>
      <c r="AM29" s="148" t="s">
        <v>235</v>
      </c>
      <c r="AN29" s="145" t="s">
        <v>16</v>
      </c>
      <c r="AO29" s="153"/>
      <c r="AP29" s="153">
        <v>361274</v>
      </c>
      <c r="AQ29" s="203">
        <v>334556.98225299991</v>
      </c>
      <c r="AR29" s="203">
        <v>434799</v>
      </c>
      <c r="AS29" s="467"/>
      <c r="AT29" s="431"/>
      <c r="AU29" s="431"/>
      <c r="AV29" s="203"/>
      <c r="AW29" s="203"/>
      <c r="AX29" s="203">
        <v>307201</v>
      </c>
      <c r="AY29" s="203"/>
      <c r="AZ29" s="203"/>
      <c r="BA29" s="203"/>
      <c r="BB29" s="203"/>
      <c r="BC29" s="203"/>
      <c r="BD29" s="203"/>
      <c r="BE29" s="479">
        <f t="shared" si="4"/>
        <v>307201</v>
      </c>
      <c r="BF29" s="210">
        <v>0</v>
      </c>
      <c r="BG29" s="468">
        <f t="shared" si="3"/>
        <v>307201</v>
      </c>
      <c r="BH29" s="153"/>
      <c r="BI29" s="153"/>
      <c r="BJ29" s="153"/>
      <c r="BK29" s="153"/>
      <c r="BL29" s="153"/>
      <c r="BM29" s="153"/>
    </row>
    <row r="30" spans="1:66" s="77" customFormat="1" ht="48">
      <c r="A30" s="372" t="s">
        <v>11</v>
      </c>
      <c r="B30" s="145" t="s">
        <v>110</v>
      </c>
      <c r="C30" s="145" t="s">
        <v>8</v>
      </c>
      <c r="D30" s="145" t="s">
        <v>247</v>
      </c>
      <c r="E30" s="145" t="s">
        <v>871</v>
      </c>
      <c r="F30" s="145" t="str">
        <f>'Pipeline Demographics-Active'!A62</f>
        <v>Construction</v>
      </c>
      <c r="G30" s="146">
        <v>1</v>
      </c>
      <c r="H30" s="220">
        <v>14000000</v>
      </c>
      <c r="I30" s="147" t="s">
        <v>192</v>
      </c>
      <c r="J30" s="148" t="s">
        <v>201</v>
      </c>
      <c r="K30" s="148" t="s">
        <v>199</v>
      </c>
      <c r="L30" s="148" t="s">
        <v>189</v>
      </c>
      <c r="M30" s="206">
        <v>2010</v>
      </c>
      <c r="N30" s="596">
        <v>2011</v>
      </c>
      <c r="O30" s="206">
        <v>2011</v>
      </c>
      <c r="P30" s="207">
        <v>40878</v>
      </c>
      <c r="Q30" s="210">
        <v>0.05</v>
      </c>
      <c r="R30" s="207">
        <v>40908</v>
      </c>
      <c r="S30" s="207">
        <v>41518</v>
      </c>
      <c r="T30" s="146">
        <v>210</v>
      </c>
      <c r="U30" s="145" t="s">
        <v>88</v>
      </c>
      <c r="V30" s="145" t="s">
        <v>156</v>
      </c>
      <c r="W30" s="145" t="s">
        <v>134</v>
      </c>
      <c r="X30" s="145" t="s">
        <v>67</v>
      </c>
      <c r="Y30" s="145" t="s">
        <v>156</v>
      </c>
      <c r="Z30" s="145" t="s">
        <v>175</v>
      </c>
      <c r="AA30" s="145" t="s">
        <v>179</v>
      </c>
      <c r="AB30" s="154">
        <v>30136151</v>
      </c>
      <c r="AC30" s="150">
        <f t="shared" si="1"/>
        <v>8618590</v>
      </c>
      <c r="AD30" s="154">
        <v>861859</v>
      </c>
      <c r="AE30" s="214">
        <v>0.88</v>
      </c>
      <c r="AF30" s="154">
        <v>8320580</v>
      </c>
      <c r="AG30" s="599" t="s">
        <v>761</v>
      </c>
      <c r="AH30" s="154">
        <v>2976286</v>
      </c>
      <c r="AI30" s="154">
        <v>1876286</v>
      </c>
      <c r="AJ30" s="150">
        <f t="shared" si="2"/>
        <v>1100000</v>
      </c>
      <c r="AK30" s="150"/>
      <c r="AL30" s="148">
        <v>1</v>
      </c>
      <c r="AM30" s="210" t="s">
        <v>561</v>
      </c>
      <c r="AN30" s="206" t="s">
        <v>560</v>
      </c>
      <c r="AO30" s="153"/>
      <c r="AP30" s="153"/>
      <c r="AQ30" s="153"/>
      <c r="AR30" s="203">
        <v>275000</v>
      </c>
      <c r="AS30" s="467"/>
      <c r="AT30" s="431"/>
      <c r="AU30" s="431"/>
      <c r="AV30" s="203"/>
      <c r="AW30" s="203"/>
      <c r="AX30" s="203"/>
      <c r="AY30" s="203"/>
      <c r="AZ30" s="203"/>
      <c r="BA30" s="203"/>
      <c r="BB30" s="203"/>
      <c r="BC30" s="203"/>
      <c r="BD30" s="203"/>
      <c r="BE30" s="479">
        <f t="shared" si="4"/>
        <v>0</v>
      </c>
      <c r="BF30" s="148"/>
      <c r="BG30" s="466">
        <f t="shared" si="3"/>
        <v>0</v>
      </c>
      <c r="BH30" s="174">
        <f>AJ30*0.4</f>
        <v>440000</v>
      </c>
      <c r="BI30" s="174">
        <f>AJ30-SUM(AR30:BH30)</f>
        <v>385000</v>
      </c>
      <c r="BJ30" s="153"/>
      <c r="BK30" s="153"/>
      <c r="BL30" s="153"/>
      <c r="BM30" s="153"/>
    </row>
    <row r="31" spans="1:66" s="77" customFormat="1" ht="32">
      <c r="A31" s="372" t="s">
        <v>51</v>
      </c>
      <c r="B31" s="145" t="s">
        <v>123</v>
      </c>
      <c r="C31" s="145" t="s">
        <v>8</v>
      </c>
      <c r="D31" s="145" t="s">
        <v>111</v>
      </c>
      <c r="E31" s="145" t="s">
        <v>871</v>
      </c>
      <c r="F31" s="145" t="s">
        <v>154</v>
      </c>
      <c r="G31" s="146">
        <v>1</v>
      </c>
      <c r="H31" s="220">
        <v>680000</v>
      </c>
      <c r="I31" s="147" t="s">
        <v>190</v>
      </c>
      <c r="J31" s="148" t="s">
        <v>141</v>
      </c>
      <c r="K31" s="148" t="s">
        <v>201</v>
      </c>
      <c r="L31" s="148" t="s">
        <v>189</v>
      </c>
      <c r="M31" s="206">
        <v>2009</v>
      </c>
      <c r="N31" s="596">
        <v>2009</v>
      </c>
      <c r="O31" s="206">
        <v>2009</v>
      </c>
      <c r="P31" s="207">
        <v>40148</v>
      </c>
      <c r="Q31" s="210">
        <v>1</v>
      </c>
      <c r="R31" s="207">
        <v>40148</v>
      </c>
      <c r="S31" s="207">
        <v>40603</v>
      </c>
      <c r="T31" s="146">
        <v>60</v>
      </c>
      <c r="U31" s="145" t="s">
        <v>41</v>
      </c>
      <c r="V31" s="145" t="s">
        <v>155</v>
      </c>
      <c r="W31" s="145" t="s">
        <v>164</v>
      </c>
      <c r="X31" s="145" t="s">
        <v>67</v>
      </c>
      <c r="Y31" s="145" t="s">
        <v>170</v>
      </c>
      <c r="Z31" s="145" t="s">
        <v>175</v>
      </c>
      <c r="AA31" s="145" t="s">
        <v>178</v>
      </c>
      <c r="AB31" s="154">
        <v>17786000</v>
      </c>
      <c r="AC31" s="150">
        <f t="shared" si="1"/>
        <v>8442046</v>
      </c>
      <c r="AD31" s="154">
        <v>844204.6</v>
      </c>
      <c r="AE31" s="214">
        <v>0.8</v>
      </c>
      <c r="AF31" s="154">
        <v>6753638</v>
      </c>
      <c r="AG31" s="599" t="s">
        <v>758</v>
      </c>
      <c r="AH31" s="152">
        <v>700570</v>
      </c>
      <c r="AI31" s="152">
        <v>0</v>
      </c>
      <c r="AJ31" s="150">
        <f t="shared" si="2"/>
        <v>700570</v>
      </c>
      <c r="AK31" s="150"/>
      <c r="AL31" s="148">
        <v>1</v>
      </c>
      <c r="AM31" s="148" t="s">
        <v>235</v>
      </c>
      <c r="AN31" s="145" t="s">
        <v>49</v>
      </c>
      <c r="AO31" s="153"/>
      <c r="AP31" s="153">
        <v>356391.5</v>
      </c>
      <c r="AQ31" s="153"/>
      <c r="AR31" s="203">
        <v>56392</v>
      </c>
      <c r="AS31" s="469"/>
      <c r="AT31" s="432"/>
      <c r="AU31" s="432"/>
      <c r="AV31" s="202"/>
      <c r="AW31" s="202">
        <f>60086+227700</f>
        <v>287786</v>
      </c>
      <c r="AX31" s="202"/>
      <c r="AY31" s="202"/>
      <c r="AZ31" s="202"/>
      <c r="BA31" s="202"/>
      <c r="BB31" s="202"/>
      <c r="BC31" s="202"/>
      <c r="BD31" s="202"/>
      <c r="BE31" s="479">
        <f t="shared" si="4"/>
        <v>287786</v>
      </c>
      <c r="BF31" s="148">
        <v>0</v>
      </c>
      <c r="BG31" s="466">
        <f t="shared" si="3"/>
        <v>287786</v>
      </c>
      <c r="BH31" s="153"/>
      <c r="BI31" s="153"/>
      <c r="BJ31" s="153"/>
      <c r="BK31" s="153"/>
      <c r="BL31" s="153"/>
      <c r="BM31" s="153"/>
    </row>
    <row r="32" spans="1:66" s="77" customFormat="1" ht="32">
      <c r="A32" s="372" t="s">
        <v>93</v>
      </c>
      <c r="B32" s="145" t="s">
        <v>122</v>
      </c>
      <c r="C32" s="145" t="s">
        <v>8</v>
      </c>
      <c r="D32" s="145" t="s">
        <v>248</v>
      </c>
      <c r="E32" s="145" t="s">
        <v>871</v>
      </c>
      <c r="F32" s="145" t="str">
        <f>'Pipeline Demographics-Active'!A61</f>
        <v>Development</v>
      </c>
      <c r="G32" s="146">
        <v>1</v>
      </c>
      <c r="H32" s="220">
        <v>5800000</v>
      </c>
      <c r="I32" s="147" t="s">
        <v>192</v>
      </c>
      <c r="J32" s="148" t="s">
        <v>199</v>
      </c>
      <c r="K32" s="210" t="s">
        <v>189</v>
      </c>
      <c r="L32" s="148" t="s">
        <v>67</v>
      </c>
      <c r="M32" s="206">
        <v>2012</v>
      </c>
      <c r="N32" s="598" t="s">
        <v>765</v>
      </c>
      <c r="O32" s="206">
        <v>2012</v>
      </c>
      <c r="P32" s="207">
        <v>41214</v>
      </c>
      <c r="Q32" s="210">
        <v>0</v>
      </c>
      <c r="R32" s="207">
        <v>41244</v>
      </c>
      <c r="S32" s="207">
        <v>41974</v>
      </c>
      <c r="T32" s="220">
        <v>181</v>
      </c>
      <c r="U32" s="145" t="s">
        <v>41</v>
      </c>
      <c r="V32" s="145" t="s">
        <v>156</v>
      </c>
      <c r="W32" s="145" t="s">
        <v>134</v>
      </c>
      <c r="X32" s="145" t="s">
        <v>67</v>
      </c>
      <c r="Y32" s="145" t="s">
        <v>156</v>
      </c>
      <c r="Z32" s="145" t="s">
        <v>175</v>
      </c>
      <c r="AA32" s="145" t="s">
        <v>14</v>
      </c>
      <c r="AB32" s="154">
        <v>45700000</v>
      </c>
      <c r="AC32" s="150">
        <f t="shared" si="1"/>
        <v>14400310</v>
      </c>
      <c r="AD32" s="154">
        <v>1440031</v>
      </c>
      <c r="AE32" s="151">
        <v>0.95</v>
      </c>
      <c r="AF32" s="150">
        <f>AC32*AE32</f>
        <v>13680294.5</v>
      </c>
      <c r="AG32" s="599" t="s">
        <v>14</v>
      </c>
      <c r="AH32" s="154">
        <v>2718225</v>
      </c>
      <c r="AI32" s="154">
        <v>1718225</v>
      </c>
      <c r="AJ32" s="150">
        <f t="shared" si="2"/>
        <v>1000000</v>
      </c>
      <c r="AK32" s="150"/>
      <c r="AL32" s="148">
        <v>1</v>
      </c>
      <c r="AM32" s="148" t="s">
        <v>235</v>
      </c>
      <c r="AN32" s="145" t="s">
        <v>53</v>
      </c>
      <c r="AO32" s="153"/>
      <c r="AP32" s="153"/>
      <c r="AQ32" s="153"/>
      <c r="AR32" s="153"/>
      <c r="AS32" s="465"/>
      <c r="AT32" s="430"/>
      <c r="AU32" s="430"/>
      <c r="AV32" s="153"/>
      <c r="AW32" s="153"/>
      <c r="AX32" s="153"/>
      <c r="AY32" s="153"/>
      <c r="AZ32" s="153"/>
      <c r="BA32" s="153"/>
      <c r="BB32" s="153"/>
      <c r="BC32" s="153">
        <v>750000</v>
      </c>
      <c r="BD32" s="153"/>
      <c r="BE32" s="479">
        <f t="shared" si="4"/>
        <v>750000</v>
      </c>
      <c r="BF32" s="148">
        <v>0.5</v>
      </c>
      <c r="BG32" s="466">
        <f t="shared" si="3"/>
        <v>375000</v>
      </c>
      <c r="BH32" s="153"/>
      <c r="BI32" s="203">
        <v>200000</v>
      </c>
      <c r="BJ32" s="203">
        <v>500000</v>
      </c>
      <c r="BK32" s="153"/>
      <c r="BL32" s="153"/>
      <c r="BM32" s="153"/>
    </row>
    <row r="33" spans="1:66" s="77" customFormat="1" ht="32">
      <c r="A33" s="372" t="s">
        <v>261</v>
      </c>
      <c r="B33" s="145" t="s">
        <v>118</v>
      </c>
      <c r="C33" s="145" t="s">
        <v>20</v>
      </c>
      <c r="D33" s="145" t="s">
        <v>111</v>
      </c>
      <c r="E33" s="145" t="s">
        <v>871</v>
      </c>
      <c r="F33" s="145" t="s">
        <v>112</v>
      </c>
      <c r="G33" s="146">
        <v>1</v>
      </c>
      <c r="H33" s="220">
        <v>780000</v>
      </c>
      <c r="I33" s="147" t="s">
        <v>141</v>
      </c>
      <c r="J33" s="148" t="s">
        <v>200</v>
      </c>
      <c r="K33" s="148" t="s">
        <v>14</v>
      </c>
      <c r="L33" s="148" t="s">
        <v>67</v>
      </c>
      <c r="M33" s="206">
        <v>2013</v>
      </c>
      <c r="N33" s="596" t="s">
        <v>14</v>
      </c>
      <c r="O33" s="206">
        <v>2013</v>
      </c>
      <c r="P33" s="207">
        <v>41609</v>
      </c>
      <c r="Q33" s="210">
        <v>0</v>
      </c>
      <c r="R33" s="207">
        <v>41640</v>
      </c>
      <c r="S33" s="207">
        <v>42005</v>
      </c>
      <c r="T33" s="146">
        <v>55</v>
      </c>
      <c r="U33" s="145" t="s">
        <v>88</v>
      </c>
      <c r="V33" s="145" t="s">
        <v>155</v>
      </c>
      <c r="W33" s="145" t="s">
        <v>164</v>
      </c>
      <c r="X33" s="145" t="s">
        <v>67</v>
      </c>
      <c r="Y33" s="145" t="s">
        <v>170</v>
      </c>
      <c r="Z33" s="145" t="s">
        <v>175</v>
      </c>
      <c r="AA33" s="145" t="s">
        <v>14</v>
      </c>
      <c r="AB33" s="152">
        <f>9500000</f>
        <v>9500000</v>
      </c>
      <c r="AC33" s="150">
        <f t="shared" si="1"/>
        <v>10500000</v>
      </c>
      <c r="AD33" s="152">
        <v>1050000</v>
      </c>
      <c r="AE33" s="205">
        <v>0.9</v>
      </c>
      <c r="AF33" s="150">
        <f>AC33*AE33</f>
        <v>9450000</v>
      </c>
      <c r="AG33" s="599" t="s">
        <v>14</v>
      </c>
      <c r="AH33" s="152">
        <v>889000</v>
      </c>
      <c r="AI33" s="150">
        <f>AH33*0.25</f>
        <v>222250</v>
      </c>
      <c r="AJ33" s="150">
        <f t="shared" si="2"/>
        <v>666750</v>
      </c>
      <c r="AK33" s="152"/>
      <c r="AL33" s="209">
        <v>1</v>
      </c>
      <c r="AM33" s="148" t="s">
        <v>235</v>
      </c>
      <c r="AN33" s="145" t="s">
        <v>16</v>
      </c>
      <c r="AO33" s="153"/>
      <c r="AP33" s="153"/>
      <c r="AQ33" s="153"/>
      <c r="AR33" s="153"/>
      <c r="AS33" s="465"/>
      <c r="AT33" s="430"/>
      <c r="AU33" s="430"/>
      <c r="AV33" s="153"/>
      <c r="AW33" s="153"/>
      <c r="AX33" s="153"/>
      <c r="AY33" s="153"/>
      <c r="AZ33" s="153"/>
      <c r="BA33" s="153"/>
      <c r="BB33" s="153"/>
      <c r="BC33" s="153"/>
      <c r="BD33" s="153"/>
      <c r="BE33" s="479">
        <f t="shared" si="4"/>
        <v>0</v>
      </c>
      <c r="BF33" s="210"/>
      <c r="BG33" s="475"/>
      <c r="BH33" s="204">
        <f>0.25*AJ33</f>
        <v>166687.5</v>
      </c>
      <c r="BI33" s="204"/>
      <c r="BJ33" s="204">
        <f>0.25*AJ33</f>
        <v>166687.5</v>
      </c>
      <c r="BK33" s="204">
        <f>0.4*AJ33</f>
        <v>266700</v>
      </c>
      <c r="BL33" s="204">
        <f>0.1*AJ33</f>
        <v>66675</v>
      </c>
      <c r="BM33" s="153"/>
    </row>
    <row r="34" spans="1:66" s="77" customFormat="1" ht="16">
      <c r="A34" s="372" t="s">
        <v>114</v>
      </c>
      <c r="B34" s="145" t="s">
        <v>118</v>
      </c>
      <c r="C34" s="145" t="s">
        <v>20</v>
      </c>
      <c r="D34" s="145" t="s">
        <v>111</v>
      </c>
      <c r="E34" s="145" t="s">
        <v>871</v>
      </c>
      <c r="F34" s="145" t="s">
        <v>112</v>
      </c>
      <c r="G34" s="146">
        <v>1</v>
      </c>
      <c r="H34" s="220">
        <v>120000</v>
      </c>
      <c r="I34" s="147" t="s">
        <v>141</v>
      </c>
      <c r="J34" s="148" t="s">
        <v>14</v>
      </c>
      <c r="K34" s="148" t="s">
        <v>14</v>
      </c>
      <c r="L34" s="148" t="s">
        <v>14</v>
      </c>
      <c r="M34" s="206">
        <v>2013</v>
      </c>
      <c r="N34" s="596" t="s">
        <v>14</v>
      </c>
      <c r="O34" s="206">
        <v>2013</v>
      </c>
      <c r="P34" s="207">
        <v>41609</v>
      </c>
      <c r="Q34" s="210">
        <v>0</v>
      </c>
      <c r="R34" s="207">
        <v>41640</v>
      </c>
      <c r="S34" s="207">
        <v>42005</v>
      </c>
      <c r="T34" s="146">
        <v>55</v>
      </c>
      <c r="U34" s="145" t="s">
        <v>88</v>
      </c>
      <c r="V34" s="145" t="s">
        <v>156</v>
      </c>
      <c r="W34" s="145" t="s">
        <v>134</v>
      </c>
      <c r="X34" s="145" t="s">
        <v>67</v>
      </c>
      <c r="Y34" s="145" t="s">
        <v>156</v>
      </c>
      <c r="Z34" s="145" t="s">
        <v>175</v>
      </c>
      <c r="AA34" s="216" t="s">
        <v>14</v>
      </c>
      <c r="AB34" s="154">
        <v>11000000</v>
      </c>
      <c r="AC34" s="150">
        <f t="shared" si="1"/>
        <v>10500000</v>
      </c>
      <c r="AD34" s="154">
        <v>1050000</v>
      </c>
      <c r="AE34" s="214">
        <v>0.9</v>
      </c>
      <c r="AF34" s="150">
        <f>AC34*AE34</f>
        <v>9450000</v>
      </c>
      <c r="AG34" s="599" t="s">
        <v>14</v>
      </c>
      <c r="AH34" s="154">
        <v>1052000</v>
      </c>
      <c r="AI34" s="150">
        <f>AH34*0.25</f>
        <v>263000</v>
      </c>
      <c r="AJ34" s="150">
        <f t="shared" ref="AJ34" si="5">AH34-AI34</f>
        <v>789000</v>
      </c>
      <c r="AK34" s="172"/>
      <c r="AL34" s="148">
        <v>1</v>
      </c>
      <c r="AM34" s="148" t="s">
        <v>235</v>
      </c>
      <c r="AN34" s="145" t="s">
        <v>16</v>
      </c>
      <c r="AO34" s="153"/>
      <c r="AP34" s="153"/>
      <c r="AQ34" s="153"/>
      <c r="AR34" s="153"/>
      <c r="AS34" s="465"/>
      <c r="AT34" s="430"/>
      <c r="AU34" s="430"/>
      <c r="AV34" s="153"/>
      <c r="AW34" s="153"/>
      <c r="AX34" s="153"/>
      <c r="AY34" s="153"/>
      <c r="AZ34" s="153"/>
      <c r="BA34" s="153"/>
      <c r="BB34" s="153"/>
      <c r="BC34" s="153"/>
      <c r="BD34" s="153"/>
      <c r="BE34" s="479">
        <f t="shared" si="4"/>
        <v>0</v>
      </c>
      <c r="BF34" s="148"/>
      <c r="BG34" s="476"/>
      <c r="BH34" s="203">
        <f>0.25*AJ34</f>
        <v>197250</v>
      </c>
      <c r="BI34" s="203"/>
      <c r="BJ34" s="203">
        <f>0.25*AJ34</f>
        <v>197250</v>
      </c>
      <c r="BK34" s="203">
        <f>0.4*AJ34</f>
        <v>315600</v>
      </c>
      <c r="BL34" s="203">
        <f>0.1*AJ34</f>
        <v>78900</v>
      </c>
      <c r="BM34" s="153"/>
    </row>
    <row r="35" spans="1:66" s="77" customFormat="1" ht="32">
      <c r="A35" s="372" t="s">
        <v>97</v>
      </c>
      <c r="B35" s="145" t="s">
        <v>110</v>
      </c>
      <c r="C35" s="145" t="s">
        <v>8</v>
      </c>
      <c r="D35" s="145" t="s">
        <v>111</v>
      </c>
      <c r="E35" s="145" t="s">
        <v>871</v>
      </c>
      <c r="F35" s="145" t="s">
        <v>115</v>
      </c>
      <c r="G35" s="146">
        <v>1</v>
      </c>
      <c r="H35" s="220" t="s">
        <v>25</v>
      </c>
      <c r="I35" s="147" t="s">
        <v>141</v>
      </c>
      <c r="J35" s="148" t="s">
        <v>14</v>
      </c>
      <c r="K35" s="148" t="s">
        <v>14</v>
      </c>
      <c r="L35" s="148" t="s">
        <v>14</v>
      </c>
      <c r="M35" s="206" t="s">
        <v>14</v>
      </c>
      <c r="N35" s="596" t="s">
        <v>14</v>
      </c>
      <c r="O35" s="206">
        <v>2013</v>
      </c>
      <c r="P35" s="207">
        <v>41548</v>
      </c>
      <c r="Q35" s="210">
        <v>0</v>
      </c>
      <c r="R35" s="207">
        <v>41548</v>
      </c>
      <c r="S35" s="207">
        <v>42095</v>
      </c>
      <c r="T35" s="146">
        <v>160</v>
      </c>
      <c r="U35" s="145" t="s">
        <v>29</v>
      </c>
      <c r="V35" s="145" t="s">
        <v>138</v>
      </c>
      <c r="W35" s="145" t="s">
        <v>162</v>
      </c>
      <c r="X35" s="145" t="s">
        <v>169</v>
      </c>
      <c r="Y35" s="145" t="s">
        <v>171</v>
      </c>
      <c r="Z35" s="145" t="s">
        <v>173</v>
      </c>
      <c r="AA35" s="145" t="s">
        <v>14</v>
      </c>
      <c r="AB35" s="150">
        <f>T35*200000</f>
        <v>32000000</v>
      </c>
      <c r="AC35" s="150">
        <f>IF(I35="LIHTC - 9%",AB35*0.75,0)+IF(I35="LIHTC - 4%",AB35*30%,0)</f>
        <v>24000000</v>
      </c>
      <c r="AD35" s="150">
        <f>AC35/10</f>
        <v>2400000</v>
      </c>
      <c r="AE35" s="151">
        <v>0.78</v>
      </c>
      <c r="AF35" s="150">
        <f>AC35*AE35</f>
        <v>18720000</v>
      </c>
      <c r="AG35" s="599" t="s">
        <v>14</v>
      </c>
      <c r="AH35" s="150">
        <f>AB35*9.7%</f>
        <v>3103999.9999999995</v>
      </c>
      <c r="AI35" s="152">
        <v>2104000</v>
      </c>
      <c r="AJ35" s="150">
        <f>AH35-AI35</f>
        <v>999999.99999999953</v>
      </c>
      <c r="AK35" s="150"/>
      <c r="AL35" s="148">
        <v>1</v>
      </c>
      <c r="AM35" s="148" t="s">
        <v>235</v>
      </c>
      <c r="AN35" s="145" t="s">
        <v>18</v>
      </c>
      <c r="AO35" s="153"/>
      <c r="AP35" s="153"/>
      <c r="AQ35" s="153"/>
      <c r="AR35" s="153"/>
      <c r="AS35" s="465"/>
      <c r="AT35" s="430"/>
      <c r="AU35" s="430"/>
      <c r="AV35" s="153"/>
      <c r="AW35" s="153"/>
      <c r="AX35" s="153"/>
      <c r="AY35" s="153"/>
      <c r="AZ35" s="153"/>
      <c r="BA35" s="153"/>
      <c r="BB35" s="153"/>
      <c r="BC35" s="153"/>
      <c r="BD35" s="153"/>
      <c r="BE35" s="479">
        <f t="shared" si="4"/>
        <v>0</v>
      </c>
      <c r="BF35" s="148"/>
      <c r="BG35" s="466">
        <f>BE35*(1-BF35)</f>
        <v>0</v>
      </c>
      <c r="BH35" s="153">
        <v>150000</v>
      </c>
      <c r="BI35" s="153">
        <v>300000</v>
      </c>
      <c r="BJ35" s="153"/>
      <c r="BK35" s="153">
        <v>400000</v>
      </c>
      <c r="BL35" s="153"/>
      <c r="BM35" s="153"/>
    </row>
    <row r="36" spans="1:66" s="77" customFormat="1" ht="32">
      <c r="A36" s="372" t="s">
        <v>204</v>
      </c>
      <c r="B36" s="428" t="s">
        <v>122</v>
      </c>
      <c r="C36" s="145" t="s">
        <v>8</v>
      </c>
      <c r="D36" s="145" t="s">
        <v>249</v>
      </c>
      <c r="E36" s="145" t="s">
        <v>871</v>
      </c>
      <c r="F36" s="145" t="s">
        <v>154</v>
      </c>
      <c r="G36" s="146">
        <v>1</v>
      </c>
      <c r="H36" s="220">
        <v>3100000</v>
      </c>
      <c r="I36" s="147" t="s">
        <v>192</v>
      </c>
      <c r="J36" s="148" t="s">
        <v>199</v>
      </c>
      <c r="K36" s="148" t="s">
        <v>201</v>
      </c>
      <c r="L36" s="148" t="s">
        <v>67</v>
      </c>
      <c r="M36" s="206">
        <v>2009</v>
      </c>
      <c r="N36" s="596">
        <v>2009</v>
      </c>
      <c r="O36" s="206">
        <v>2010</v>
      </c>
      <c r="P36" s="207">
        <v>40391</v>
      </c>
      <c r="Q36" s="210">
        <v>0.95</v>
      </c>
      <c r="R36" s="207">
        <v>40422</v>
      </c>
      <c r="S36" s="207">
        <v>40969</v>
      </c>
      <c r="T36" s="146">
        <v>69</v>
      </c>
      <c r="U36" s="145" t="s">
        <v>30</v>
      </c>
      <c r="V36" s="145" t="s">
        <v>138</v>
      </c>
      <c r="W36" s="145" t="s">
        <v>162</v>
      </c>
      <c r="X36" s="145" t="s">
        <v>169</v>
      </c>
      <c r="Y36" s="145" t="s">
        <v>171</v>
      </c>
      <c r="Z36" s="145" t="s">
        <v>173</v>
      </c>
      <c r="AA36" s="145" t="s">
        <v>178</v>
      </c>
      <c r="AB36" s="154">
        <v>15100000</v>
      </c>
      <c r="AC36" s="150">
        <f>AF36/AE36</f>
        <v>4638364.6052631577</v>
      </c>
      <c r="AD36" s="150">
        <f>AC36/10</f>
        <v>463836.46052631579</v>
      </c>
      <c r="AE36" s="214">
        <v>0.76</v>
      </c>
      <c r="AF36" s="150">
        <f>15326770*(69/300)</f>
        <v>3525157.1</v>
      </c>
      <c r="AG36" s="599" t="s">
        <v>758</v>
      </c>
      <c r="AH36" s="154">
        <v>1757000</v>
      </c>
      <c r="AI36" s="154">
        <v>760000</v>
      </c>
      <c r="AJ36" s="150">
        <f>AH36-AI36</f>
        <v>997000</v>
      </c>
      <c r="AK36" s="154"/>
      <c r="AL36" s="215">
        <v>1</v>
      </c>
      <c r="AM36" s="148" t="s">
        <v>235</v>
      </c>
      <c r="AN36" s="145" t="s">
        <v>16</v>
      </c>
      <c r="AO36" s="153"/>
      <c r="AP36" s="153"/>
      <c r="AQ36" s="153"/>
      <c r="AR36" s="153"/>
      <c r="AS36" s="465"/>
      <c r="AT36" s="430"/>
      <c r="AU36" s="430"/>
      <c r="AV36" s="153"/>
      <c r="AW36" s="153"/>
      <c r="AX36" s="153"/>
      <c r="AY36" s="153"/>
      <c r="AZ36" s="153"/>
      <c r="BA36" s="153"/>
      <c r="BB36" s="153"/>
      <c r="BC36" s="153"/>
      <c r="BD36" s="153"/>
      <c r="BE36" s="479">
        <f t="shared" si="4"/>
        <v>0</v>
      </c>
      <c r="BF36" s="210"/>
      <c r="BG36" s="475"/>
      <c r="BH36" s="204"/>
      <c r="BI36" s="204"/>
      <c r="BJ36" s="204"/>
      <c r="BK36" s="153"/>
      <c r="BL36" s="153"/>
      <c r="BM36" s="153"/>
    </row>
    <row r="37" spans="1:66" s="77" customFormat="1" ht="32">
      <c r="A37" s="372" t="s">
        <v>117</v>
      </c>
      <c r="B37" s="428" t="s">
        <v>122</v>
      </c>
      <c r="C37" s="145" t="s">
        <v>8</v>
      </c>
      <c r="D37" s="145" t="s">
        <v>247</v>
      </c>
      <c r="E37" s="145" t="s">
        <v>871</v>
      </c>
      <c r="F37" s="145" t="s">
        <v>153</v>
      </c>
      <c r="G37" s="146">
        <v>1</v>
      </c>
      <c r="H37" s="220">
        <v>20500000</v>
      </c>
      <c r="I37" s="147" t="s">
        <v>192</v>
      </c>
      <c r="J37" s="148" t="s">
        <v>199</v>
      </c>
      <c r="K37" s="148" t="s">
        <v>201</v>
      </c>
      <c r="L37" s="148" t="s">
        <v>67</v>
      </c>
      <c r="M37" s="206">
        <v>2009</v>
      </c>
      <c r="N37" s="596">
        <v>2009</v>
      </c>
      <c r="O37" s="206">
        <v>2010</v>
      </c>
      <c r="P37" s="207">
        <v>40391</v>
      </c>
      <c r="Q37" s="210">
        <v>0.95</v>
      </c>
      <c r="R37" s="207">
        <v>40391</v>
      </c>
      <c r="S37" s="207">
        <v>40969</v>
      </c>
      <c r="T37" s="146">
        <v>231</v>
      </c>
      <c r="U37" s="145" t="s">
        <v>88</v>
      </c>
      <c r="V37" s="145" t="s">
        <v>156</v>
      </c>
      <c r="W37" s="145" t="s">
        <v>134</v>
      </c>
      <c r="X37" s="145" t="s">
        <v>67</v>
      </c>
      <c r="Y37" s="145" t="s">
        <v>156</v>
      </c>
      <c r="Z37" s="145" t="s">
        <v>175</v>
      </c>
      <c r="AA37" s="145" t="s">
        <v>179</v>
      </c>
      <c r="AB37" s="152">
        <v>53000000</v>
      </c>
      <c r="AC37" s="150">
        <f>AD37*10</f>
        <v>15528440</v>
      </c>
      <c r="AD37" s="152">
        <v>1552844</v>
      </c>
      <c r="AE37" s="205">
        <v>0.76</v>
      </c>
      <c r="AF37" s="150">
        <f>15326770*(231/300)</f>
        <v>11801612.9</v>
      </c>
      <c r="AG37" s="599" t="s">
        <v>758</v>
      </c>
      <c r="AH37" s="152">
        <v>5882000</v>
      </c>
      <c r="AI37" s="152">
        <v>5879000</v>
      </c>
      <c r="AJ37" s="150">
        <f>AH37-AI37</f>
        <v>3000</v>
      </c>
      <c r="AK37" s="152"/>
      <c r="AL37" s="209">
        <f>204/231</f>
        <v>0.88311688311688308</v>
      </c>
      <c r="AM37" s="148" t="s">
        <v>236</v>
      </c>
      <c r="AN37" s="145" t="s">
        <v>16</v>
      </c>
      <c r="AO37" s="153"/>
      <c r="AP37" s="153"/>
      <c r="AQ37" s="153">
        <v>172500</v>
      </c>
      <c r="AR37" s="153"/>
      <c r="AS37" s="465"/>
      <c r="AT37" s="430"/>
      <c r="AU37" s="430"/>
      <c r="AV37" s="153"/>
      <c r="AW37" s="153"/>
      <c r="AX37" s="153"/>
      <c r="AY37" s="153">
        <v>750000</v>
      </c>
      <c r="AZ37" s="153"/>
      <c r="BA37" s="153"/>
      <c r="BB37" s="153"/>
      <c r="BC37" s="153"/>
      <c r="BD37" s="153"/>
      <c r="BE37" s="479">
        <f t="shared" si="4"/>
        <v>750000</v>
      </c>
      <c r="BF37" s="210">
        <v>0.15</v>
      </c>
      <c r="BG37" s="475">
        <f>BE37*(1-BF37)</f>
        <v>637500</v>
      </c>
      <c r="BH37" s="204">
        <v>171000</v>
      </c>
      <c r="BI37" s="204">
        <v>183000</v>
      </c>
      <c r="BJ37" s="204">
        <v>195000</v>
      </c>
      <c r="BK37" s="153">
        <v>207000</v>
      </c>
      <c r="BL37" s="153"/>
      <c r="BM37" s="153"/>
    </row>
    <row r="38" spans="1:66" s="77" customFormat="1" ht="32">
      <c r="A38" s="372" t="s">
        <v>545</v>
      </c>
      <c r="B38" s="597" t="s">
        <v>628</v>
      </c>
      <c r="C38" s="78" t="s">
        <v>8</v>
      </c>
      <c r="D38" s="78" t="s">
        <v>249</v>
      </c>
      <c r="E38" s="145" t="s">
        <v>871</v>
      </c>
      <c r="F38" s="78" t="s">
        <v>54</v>
      </c>
      <c r="G38" s="79">
        <v>1</v>
      </c>
      <c r="H38" s="199">
        <v>0</v>
      </c>
      <c r="I38" s="80" t="s">
        <v>192</v>
      </c>
      <c r="J38" s="81" t="s">
        <v>194</v>
      </c>
      <c r="K38" s="81" t="s">
        <v>199</v>
      </c>
      <c r="L38" s="81" t="s">
        <v>201</v>
      </c>
      <c r="M38" s="387">
        <v>2012</v>
      </c>
      <c r="N38" s="598" t="s">
        <v>765</v>
      </c>
      <c r="O38" s="387">
        <v>2012</v>
      </c>
      <c r="P38" s="388">
        <v>41244</v>
      </c>
      <c r="Q38" s="386">
        <v>0</v>
      </c>
      <c r="R38" s="388">
        <v>41275</v>
      </c>
      <c r="S38" s="388">
        <v>41730</v>
      </c>
      <c r="T38" s="199">
        <v>449</v>
      </c>
      <c r="U38" s="78" t="s">
        <v>30</v>
      </c>
      <c r="V38" s="78" t="s">
        <v>138</v>
      </c>
      <c r="W38" s="78" t="s">
        <v>162</v>
      </c>
      <c r="X38" s="78" t="s">
        <v>169</v>
      </c>
      <c r="Y38" s="78" t="s">
        <v>171</v>
      </c>
      <c r="Z38" s="78" t="s">
        <v>173</v>
      </c>
      <c r="AA38" s="78" t="s">
        <v>14</v>
      </c>
      <c r="AB38" s="200">
        <v>43752605</v>
      </c>
      <c r="AC38" s="107">
        <f>AD38*10</f>
        <v>13663550</v>
      </c>
      <c r="AD38" s="200">
        <f>203429+406758+557177+198991</f>
        <v>1366355</v>
      </c>
      <c r="AE38" s="201">
        <v>0.9</v>
      </c>
      <c r="AF38" s="107">
        <f>AC38*AE38</f>
        <v>12297195</v>
      </c>
      <c r="AG38" s="600" t="s">
        <v>14</v>
      </c>
      <c r="AH38" s="200">
        <v>3047000</v>
      </c>
      <c r="AI38" s="107">
        <f>+AH38*0.5</f>
        <v>1523500</v>
      </c>
      <c r="AJ38" s="107">
        <f t="shared" ref="AJ38:AJ43" si="6">AH38-AI38</f>
        <v>1523500</v>
      </c>
      <c r="AK38" s="200">
        <v>732106</v>
      </c>
      <c r="AL38" s="81">
        <v>1</v>
      </c>
      <c r="AM38" s="81" t="s">
        <v>235</v>
      </c>
      <c r="AN38" s="78" t="s">
        <v>16</v>
      </c>
      <c r="AO38" s="82"/>
      <c r="AP38" s="82"/>
      <c r="AQ38" s="82"/>
      <c r="AR38" s="82"/>
      <c r="AS38" s="470"/>
      <c r="AT38" s="429"/>
      <c r="AU38" s="429"/>
      <c r="AV38" s="82"/>
      <c r="AW38" s="82"/>
      <c r="AX38" s="82"/>
      <c r="AY38" s="82"/>
      <c r="AZ38" s="82"/>
      <c r="BA38" s="82"/>
      <c r="BB38" s="82"/>
      <c r="BC38" s="82"/>
      <c r="BD38" s="82">
        <v>333333</v>
      </c>
      <c r="BE38" s="479">
        <f t="shared" si="4"/>
        <v>333333</v>
      </c>
      <c r="BF38" s="386">
        <v>0.5</v>
      </c>
      <c r="BG38" s="477">
        <f>BE38*(1-BF38)</f>
        <v>166666.5</v>
      </c>
      <c r="BH38" s="385"/>
      <c r="BI38" s="385">
        <v>600000</v>
      </c>
      <c r="BJ38" s="385">
        <f>600000-9833</f>
        <v>590167</v>
      </c>
      <c r="BK38" s="202"/>
      <c r="BL38" s="82"/>
      <c r="BM38" s="82"/>
    </row>
    <row r="39" spans="1:66" s="77" customFormat="1" ht="32">
      <c r="A39" s="372" t="s">
        <v>106</v>
      </c>
      <c r="B39" s="145" t="s">
        <v>123</v>
      </c>
      <c r="C39" s="145" t="s">
        <v>106</v>
      </c>
      <c r="D39" s="145" t="s">
        <v>111</v>
      </c>
      <c r="E39" s="145" t="s">
        <v>871</v>
      </c>
      <c r="F39" s="145" t="s">
        <v>112</v>
      </c>
      <c r="G39" s="146">
        <v>1</v>
      </c>
      <c r="H39" s="220">
        <v>1335500</v>
      </c>
      <c r="I39" s="147" t="s">
        <v>141</v>
      </c>
      <c r="J39" s="148" t="s">
        <v>14</v>
      </c>
      <c r="K39" s="148" t="s">
        <v>14</v>
      </c>
      <c r="L39" s="148" t="s">
        <v>14</v>
      </c>
      <c r="M39" s="206">
        <v>2012</v>
      </c>
      <c r="N39" s="596" t="s">
        <v>14</v>
      </c>
      <c r="O39" s="206">
        <v>2013</v>
      </c>
      <c r="P39" s="207">
        <v>41548</v>
      </c>
      <c r="Q39" s="210">
        <v>0</v>
      </c>
      <c r="R39" s="207">
        <v>41548</v>
      </c>
      <c r="S39" s="207">
        <v>41913</v>
      </c>
      <c r="T39" s="146">
        <v>70</v>
      </c>
      <c r="U39" s="145" t="s">
        <v>88</v>
      </c>
      <c r="V39" s="145" t="s">
        <v>155</v>
      </c>
      <c r="W39" s="145" t="s">
        <v>164</v>
      </c>
      <c r="X39" s="426"/>
      <c r="Y39" s="145" t="s">
        <v>170</v>
      </c>
      <c r="Z39" s="145" t="s">
        <v>175</v>
      </c>
      <c r="AA39" s="145" t="s">
        <v>14</v>
      </c>
      <c r="AB39" s="154">
        <v>18900000</v>
      </c>
      <c r="AC39" s="150">
        <f>AD39*10</f>
        <v>18000156</v>
      </c>
      <c r="AD39" s="154">
        <v>1800015.6</v>
      </c>
      <c r="AE39" s="214">
        <v>0.91990000000000005</v>
      </c>
      <c r="AF39" s="150">
        <f t="shared" ref="AF39" si="7">AC39*AE39</f>
        <v>16558343.504400002</v>
      </c>
      <c r="AG39" s="599" t="s">
        <v>766</v>
      </c>
      <c r="AH39" s="154">
        <v>1743353</v>
      </c>
      <c r="AI39" s="154">
        <v>486373</v>
      </c>
      <c r="AJ39" s="150">
        <f>AH39-AI39</f>
        <v>1256980</v>
      </c>
      <c r="AK39" s="150"/>
      <c r="AL39" s="148">
        <v>1</v>
      </c>
      <c r="AM39" s="148" t="s">
        <v>235</v>
      </c>
      <c r="AN39" s="145" t="s">
        <v>14</v>
      </c>
      <c r="AO39" s="153"/>
      <c r="AP39" s="153"/>
      <c r="AQ39" s="153"/>
      <c r="AR39" s="153"/>
      <c r="AS39" s="465"/>
      <c r="AT39" s="430"/>
      <c r="AU39" s="430"/>
      <c r="AV39" s="153"/>
      <c r="AW39" s="153"/>
      <c r="AX39" s="153"/>
      <c r="AY39" s="153"/>
      <c r="AZ39" s="153"/>
      <c r="BA39" s="153"/>
      <c r="BB39" s="153"/>
      <c r="BC39" s="153"/>
      <c r="BD39" s="204">
        <v>0</v>
      </c>
      <c r="BE39" s="479">
        <f t="shared" si="4"/>
        <v>0</v>
      </c>
      <c r="BF39" s="210"/>
      <c r="BG39" s="475">
        <f>BE39*(1-BF39)</f>
        <v>0</v>
      </c>
      <c r="BH39" s="204">
        <v>226256</v>
      </c>
      <c r="BI39" s="204"/>
      <c r="BJ39" s="204"/>
      <c r="BK39" s="153"/>
      <c r="BL39" s="153"/>
      <c r="BM39" s="153"/>
    </row>
    <row r="40" spans="1:66" s="77" customFormat="1" ht="32">
      <c r="A40" s="372" t="s">
        <v>86</v>
      </c>
      <c r="B40" s="145" t="s">
        <v>118</v>
      </c>
      <c r="C40" s="145" t="s">
        <v>20</v>
      </c>
      <c r="D40" s="145" t="s">
        <v>111</v>
      </c>
      <c r="E40" s="145" t="s">
        <v>871</v>
      </c>
      <c r="F40" s="145" t="s">
        <v>115</v>
      </c>
      <c r="G40" s="146">
        <v>1</v>
      </c>
      <c r="H40" s="220">
        <v>650000</v>
      </c>
      <c r="I40" s="147" t="s">
        <v>141</v>
      </c>
      <c r="J40" s="148" t="s">
        <v>14</v>
      </c>
      <c r="K40" s="148" t="s">
        <v>14</v>
      </c>
      <c r="L40" s="148" t="s">
        <v>14</v>
      </c>
      <c r="M40" s="206">
        <v>2013</v>
      </c>
      <c r="N40" s="596" t="s">
        <v>14</v>
      </c>
      <c r="O40" s="206">
        <v>2013</v>
      </c>
      <c r="P40" s="207">
        <v>41609</v>
      </c>
      <c r="Q40" s="210">
        <v>0</v>
      </c>
      <c r="R40" s="207">
        <v>41640</v>
      </c>
      <c r="S40" s="207">
        <v>42005</v>
      </c>
      <c r="T40" s="146">
        <v>55</v>
      </c>
      <c r="U40" s="145" t="s">
        <v>132</v>
      </c>
      <c r="V40" s="145" t="s">
        <v>156</v>
      </c>
      <c r="W40" s="145" t="s">
        <v>162</v>
      </c>
      <c r="X40" s="145" t="s">
        <v>165</v>
      </c>
      <c r="Y40" s="145" t="s">
        <v>171</v>
      </c>
      <c r="Z40" s="145" t="s">
        <v>174</v>
      </c>
      <c r="AA40" s="145" t="s">
        <v>14</v>
      </c>
      <c r="AB40" s="150">
        <f>T40*175000</f>
        <v>9625000</v>
      </c>
      <c r="AC40" s="154" t="s">
        <v>14</v>
      </c>
      <c r="AD40" s="154" t="s">
        <v>14</v>
      </c>
      <c r="AE40" s="214"/>
      <c r="AF40" s="154" t="s">
        <v>14</v>
      </c>
      <c r="AG40" s="599" t="s">
        <v>14</v>
      </c>
      <c r="AH40" s="154">
        <v>900000</v>
      </c>
      <c r="AI40" s="150">
        <f>0.25*AH40</f>
        <v>225000</v>
      </c>
      <c r="AJ40" s="150">
        <f>AH40-AI40</f>
        <v>675000</v>
      </c>
      <c r="AK40" s="172"/>
      <c r="AL40" s="148">
        <v>1</v>
      </c>
      <c r="AM40" s="148" t="s">
        <v>235</v>
      </c>
      <c r="AN40" s="145" t="s">
        <v>16</v>
      </c>
      <c r="AO40" s="153"/>
      <c r="AP40" s="153"/>
      <c r="AQ40" s="153"/>
      <c r="AR40" s="153"/>
      <c r="AS40" s="465"/>
      <c r="AT40" s="430"/>
      <c r="AU40" s="430"/>
      <c r="AV40" s="153"/>
      <c r="AW40" s="153"/>
      <c r="AX40" s="153"/>
      <c r="AY40" s="153"/>
      <c r="AZ40" s="153"/>
      <c r="BA40" s="153"/>
      <c r="BB40" s="153"/>
      <c r="BC40" s="153"/>
      <c r="BD40" s="153"/>
      <c r="BE40" s="479">
        <f t="shared" si="4"/>
        <v>0</v>
      </c>
      <c r="BF40" s="210"/>
      <c r="BG40" s="475"/>
      <c r="BH40" s="204">
        <f>0.25*AJ40</f>
        <v>168750</v>
      </c>
      <c r="BI40" s="204"/>
      <c r="BJ40" s="204">
        <f>0.25*AJ40</f>
        <v>168750</v>
      </c>
      <c r="BK40" s="203">
        <f>0.4*AJ40</f>
        <v>270000</v>
      </c>
      <c r="BL40" s="203">
        <f>0.1*AJ40</f>
        <v>67500</v>
      </c>
      <c r="BM40" s="153"/>
    </row>
    <row r="41" spans="1:66" s="77" customFormat="1" ht="32">
      <c r="A41" s="372" t="s">
        <v>124</v>
      </c>
      <c r="B41" s="145" t="s">
        <v>118</v>
      </c>
      <c r="C41" s="145" t="s">
        <v>5</v>
      </c>
      <c r="D41" s="145" t="s">
        <v>111</v>
      </c>
      <c r="E41" s="145" t="s">
        <v>871</v>
      </c>
      <c r="F41" s="206" t="s">
        <v>54</v>
      </c>
      <c r="G41" s="146">
        <v>1</v>
      </c>
      <c r="H41" s="220">
        <v>0</v>
      </c>
      <c r="I41" s="147" t="s">
        <v>141</v>
      </c>
      <c r="J41" s="210" t="s">
        <v>201</v>
      </c>
      <c r="K41" s="210" t="s">
        <v>189</v>
      </c>
      <c r="L41" s="210" t="s">
        <v>189</v>
      </c>
      <c r="M41" s="206">
        <v>2012</v>
      </c>
      <c r="N41" s="596" t="s">
        <v>14</v>
      </c>
      <c r="O41" s="206">
        <v>2012</v>
      </c>
      <c r="P41" s="207">
        <v>41244</v>
      </c>
      <c r="Q41" s="210">
        <v>0</v>
      </c>
      <c r="R41" s="207">
        <v>41275</v>
      </c>
      <c r="S41" s="207">
        <v>41639</v>
      </c>
      <c r="T41" s="208">
        <v>65</v>
      </c>
      <c r="U41" s="206" t="s">
        <v>130</v>
      </c>
      <c r="V41" s="206" t="s">
        <v>138</v>
      </c>
      <c r="W41" s="206" t="s">
        <v>165</v>
      </c>
      <c r="X41" s="206" t="s">
        <v>162</v>
      </c>
      <c r="Y41" s="206" t="s">
        <v>171</v>
      </c>
      <c r="Z41" s="206" t="s">
        <v>174</v>
      </c>
      <c r="AA41" s="206" t="s">
        <v>14</v>
      </c>
      <c r="AB41" s="211">
        <v>20000000</v>
      </c>
      <c r="AC41" s="150">
        <f>AD41*10</f>
        <v>18500000</v>
      </c>
      <c r="AD41" s="211">
        <v>1850000</v>
      </c>
      <c r="AE41" s="212">
        <v>0.93400000000000005</v>
      </c>
      <c r="AF41" s="167">
        <f>AC41*AE41</f>
        <v>17279000</v>
      </c>
      <c r="AG41" s="599" t="s">
        <v>14</v>
      </c>
      <c r="AH41" s="213">
        <v>1737500</v>
      </c>
      <c r="AI41" s="211">
        <f>AH41*0.25</f>
        <v>434375</v>
      </c>
      <c r="AJ41" s="211">
        <f>AH41-AI41</f>
        <v>1303125</v>
      </c>
      <c r="AK41" s="172"/>
      <c r="AL41" s="148">
        <v>1</v>
      </c>
      <c r="AM41" s="148" t="s">
        <v>235</v>
      </c>
      <c r="AN41" s="145" t="s">
        <v>16</v>
      </c>
      <c r="AO41" s="153"/>
      <c r="AP41" s="153"/>
      <c r="AQ41" s="153"/>
      <c r="AR41" s="153"/>
      <c r="AS41" s="465"/>
      <c r="AT41" s="430"/>
      <c r="AU41" s="430"/>
      <c r="AV41" s="153"/>
      <c r="AW41" s="153"/>
      <c r="AX41" s="153"/>
      <c r="AY41" s="153"/>
      <c r="AZ41" s="153"/>
      <c r="BA41" s="153"/>
      <c r="BB41" s="153"/>
      <c r="BC41" s="153"/>
      <c r="BD41" s="153">
        <v>325781</v>
      </c>
      <c r="BE41" s="479">
        <f t="shared" si="4"/>
        <v>325781</v>
      </c>
      <c r="BF41" s="210">
        <v>0.5</v>
      </c>
      <c r="BG41" s="475">
        <f>BE41*(1-BF41)</f>
        <v>162890.5</v>
      </c>
      <c r="BH41" s="204"/>
      <c r="BI41" s="204">
        <f>0.25*AJ41</f>
        <v>325781.25</v>
      </c>
      <c r="BJ41" s="204">
        <f>0.4*AJ41</f>
        <v>521250</v>
      </c>
      <c r="BK41" s="204">
        <f>0.1*AJ41</f>
        <v>130312.5</v>
      </c>
      <c r="BL41" s="153"/>
      <c r="BM41" s="153"/>
      <c r="BN41" s="82"/>
    </row>
    <row r="42" spans="1:66" s="77" customFormat="1" ht="32">
      <c r="A42" s="372" t="s">
        <v>546</v>
      </c>
      <c r="B42" s="145" t="s">
        <v>122</v>
      </c>
      <c r="C42" s="145" t="s">
        <v>8</v>
      </c>
      <c r="D42" s="145" t="s">
        <v>248</v>
      </c>
      <c r="E42" s="145" t="s">
        <v>871</v>
      </c>
      <c r="F42" s="145" t="s">
        <v>115</v>
      </c>
      <c r="G42" s="146">
        <v>1</v>
      </c>
      <c r="H42" s="220">
        <v>2000000</v>
      </c>
      <c r="I42" s="147" t="s">
        <v>141</v>
      </c>
      <c r="J42" s="148" t="s">
        <v>14</v>
      </c>
      <c r="K42" s="148" t="s">
        <v>14</v>
      </c>
      <c r="L42" s="148" t="s">
        <v>14</v>
      </c>
      <c r="M42" s="206">
        <v>2013</v>
      </c>
      <c r="N42" s="596" t="s">
        <v>14</v>
      </c>
      <c r="O42" s="206">
        <v>2013</v>
      </c>
      <c r="P42" s="207">
        <v>41334</v>
      </c>
      <c r="Q42" s="210">
        <v>0</v>
      </c>
      <c r="R42" s="207">
        <v>41334</v>
      </c>
      <c r="S42" s="207">
        <v>41791</v>
      </c>
      <c r="T42" s="146">
        <v>95</v>
      </c>
      <c r="U42" s="145" t="s">
        <v>132</v>
      </c>
      <c r="V42" s="145" t="s">
        <v>155</v>
      </c>
      <c r="W42" s="145" t="s">
        <v>164</v>
      </c>
      <c r="X42" s="145" t="s">
        <v>67</v>
      </c>
      <c r="Y42" s="145" t="s">
        <v>170</v>
      </c>
      <c r="Z42" s="145" t="s">
        <v>175</v>
      </c>
      <c r="AA42" s="145" t="s">
        <v>14</v>
      </c>
      <c r="AB42" s="152">
        <v>17500000</v>
      </c>
      <c r="AC42" s="150">
        <f t="shared" ref="AC42" si="8">IF(I42="LIHTC - 9%",AB42*0.75,0)+IF(I42="LIHTC - 4%",AB42*30%,0)</f>
        <v>13125000</v>
      </c>
      <c r="AD42" s="150">
        <f>AC42/10</f>
        <v>1312500</v>
      </c>
      <c r="AE42" s="151">
        <v>0.72</v>
      </c>
      <c r="AF42" s="150">
        <f>AC42*AE42</f>
        <v>9450000</v>
      </c>
      <c r="AG42" s="599" t="s">
        <v>14</v>
      </c>
      <c r="AH42" s="150">
        <f>AB42*10%</f>
        <v>1750000</v>
      </c>
      <c r="AI42" s="150">
        <f>AH42*0.25</f>
        <v>437500</v>
      </c>
      <c r="AJ42" s="150">
        <f t="shared" si="6"/>
        <v>1312500</v>
      </c>
      <c r="AK42" s="150"/>
      <c r="AL42" s="148">
        <v>1</v>
      </c>
      <c r="AM42" s="148" t="s">
        <v>235</v>
      </c>
      <c r="AN42" s="145" t="s">
        <v>16</v>
      </c>
      <c r="AO42" s="153"/>
      <c r="AP42" s="153"/>
      <c r="AQ42" s="153"/>
      <c r="AR42" s="153"/>
      <c r="AS42" s="465"/>
      <c r="AT42" s="430"/>
      <c r="AU42" s="430"/>
      <c r="AV42" s="153"/>
      <c r="AW42" s="153"/>
      <c r="AX42" s="153"/>
      <c r="AY42" s="153"/>
      <c r="AZ42" s="153"/>
      <c r="BA42" s="153"/>
      <c r="BB42" s="153"/>
      <c r="BC42" s="153"/>
      <c r="BD42" s="153"/>
      <c r="BE42" s="479">
        <f t="shared" si="4"/>
        <v>0</v>
      </c>
      <c r="BF42" s="210"/>
      <c r="BG42" s="475">
        <f>BE42*(1-BF42)</f>
        <v>0</v>
      </c>
      <c r="BH42" s="204">
        <v>750000</v>
      </c>
      <c r="BI42" s="204"/>
      <c r="BJ42" s="204">
        <v>250000</v>
      </c>
      <c r="BK42" s="153"/>
      <c r="BL42" s="153"/>
      <c r="BM42" s="153"/>
    </row>
    <row r="43" spans="1:66" s="77" customFormat="1" ht="32">
      <c r="A43" s="372" t="s">
        <v>243</v>
      </c>
      <c r="B43" s="145" t="s">
        <v>122</v>
      </c>
      <c r="C43" s="145" t="s">
        <v>8</v>
      </c>
      <c r="D43" s="145" t="s">
        <v>111</v>
      </c>
      <c r="E43" s="145" t="s">
        <v>871</v>
      </c>
      <c r="F43" s="145" t="s">
        <v>154</v>
      </c>
      <c r="G43" s="146">
        <v>1</v>
      </c>
      <c r="H43" s="220">
        <v>0</v>
      </c>
      <c r="I43" s="147" t="s">
        <v>141</v>
      </c>
      <c r="J43" s="148" t="s">
        <v>199</v>
      </c>
      <c r="K43" s="148" t="s">
        <v>198</v>
      </c>
      <c r="L43" s="148" t="s">
        <v>67</v>
      </c>
      <c r="M43" s="206">
        <v>2008</v>
      </c>
      <c r="N43" s="596">
        <v>2008</v>
      </c>
      <c r="O43" s="206">
        <v>2008</v>
      </c>
      <c r="P43" s="207">
        <v>39783</v>
      </c>
      <c r="Q43" s="210">
        <v>1</v>
      </c>
      <c r="R43" s="207">
        <v>39783</v>
      </c>
      <c r="S43" s="207">
        <v>40422</v>
      </c>
      <c r="T43" s="146">
        <v>99</v>
      </c>
      <c r="U43" s="145" t="s">
        <v>30</v>
      </c>
      <c r="V43" s="145" t="s">
        <v>138</v>
      </c>
      <c r="W43" s="145" t="s">
        <v>162</v>
      </c>
      <c r="X43" s="145" t="s">
        <v>169</v>
      </c>
      <c r="Y43" s="145" t="s">
        <v>171</v>
      </c>
      <c r="Z43" s="145" t="s">
        <v>173</v>
      </c>
      <c r="AA43" s="145" t="s">
        <v>178</v>
      </c>
      <c r="AB43" s="152">
        <v>16780500</v>
      </c>
      <c r="AC43" s="150">
        <f>IF(I43="LIHTC - 9%",AB43*0.75,0)+IF(I43="LIHTC - 4%",AB43*30%,0)</f>
        <v>12585375</v>
      </c>
      <c r="AD43" s="150">
        <f>AC43/10</f>
        <v>1258537.5</v>
      </c>
      <c r="AE43" s="151">
        <v>0.91</v>
      </c>
      <c r="AF43" s="150">
        <f>AC43*AE43</f>
        <v>11452691.25</v>
      </c>
      <c r="AG43" s="599" t="s">
        <v>760</v>
      </c>
      <c r="AH43" s="152">
        <v>1000000</v>
      </c>
      <c r="AI43" s="152">
        <v>640000</v>
      </c>
      <c r="AJ43" s="150">
        <f t="shared" si="6"/>
        <v>360000</v>
      </c>
      <c r="AK43" s="150"/>
      <c r="AL43" s="148">
        <v>1</v>
      </c>
      <c r="AM43" s="148" t="s">
        <v>235</v>
      </c>
      <c r="AN43" s="145" t="s">
        <v>16</v>
      </c>
      <c r="AO43" s="153">
        <v>360000</v>
      </c>
      <c r="AP43" s="153"/>
      <c r="AQ43" s="153"/>
      <c r="AR43" s="153"/>
      <c r="AS43" s="465"/>
      <c r="AT43" s="430"/>
      <c r="AU43" s="430"/>
      <c r="AV43" s="153"/>
      <c r="AW43" s="153"/>
      <c r="AX43" s="153"/>
      <c r="AY43" s="153"/>
      <c r="AZ43" s="153"/>
      <c r="BA43" s="153"/>
      <c r="BB43" s="153"/>
      <c r="BC43" s="153"/>
      <c r="BD43" s="153"/>
      <c r="BE43" s="479">
        <f t="shared" si="4"/>
        <v>0</v>
      </c>
      <c r="BF43" s="210"/>
      <c r="BG43" s="475"/>
      <c r="BH43" s="204"/>
      <c r="BI43" s="204"/>
      <c r="BJ43" s="204"/>
      <c r="BK43" s="153"/>
      <c r="BL43" s="153"/>
      <c r="BM43" s="153"/>
    </row>
    <row r="44" spans="1:66" s="77" customFormat="1" ht="16">
      <c r="A44" s="372" t="s">
        <v>547</v>
      </c>
      <c r="B44" s="145" t="s">
        <v>118</v>
      </c>
      <c r="C44" s="145" t="s">
        <v>20</v>
      </c>
      <c r="D44" s="145" t="s">
        <v>111</v>
      </c>
      <c r="E44" s="145" t="s">
        <v>871</v>
      </c>
      <c r="F44" s="145" t="s">
        <v>115</v>
      </c>
      <c r="G44" s="146">
        <v>1</v>
      </c>
      <c r="H44" s="220" t="s">
        <v>14</v>
      </c>
      <c r="I44" s="147" t="s">
        <v>141</v>
      </c>
      <c r="J44" s="148" t="s">
        <v>14</v>
      </c>
      <c r="K44" s="148" t="s">
        <v>14</v>
      </c>
      <c r="L44" s="148" t="s">
        <v>14</v>
      </c>
      <c r="M44" s="206" t="s">
        <v>14</v>
      </c>
      <c r="N44" s="596" t="s">
        <v>14</v>
      </c>
      <c r="O44" s="206">
        <v>2014</v>
      </c>
      <c r="P44" s="207">
        <v>41974</v>
      </c>
      <c r="Q44" s="210">
        <v>0</v>
      </c>
      <c r="R44" s="207">
        <v>41974</v>
      </c>
      <c r="S44" s="207">
        <v>42401</v>
      </c>
      <c r="T44" s="146">
        <v>60</v>
      </c>
      <c r="U44" s="145" t="s">
        <v>14</v>
      </c>
      <c r="V44" s="145" t="s">
        <v>156</v>
      </c>
      <c r="W44" s="145" t="s">
        <v>134</v>
      </c>
      <c r="X44" s="145" t="s">
        <v>67</v>
      </c>
      <c r="Y44" s="145" t="s">
        <v>156</v>
      </c>
      <c r="Z44" s="145" t="s">
        <v>175</v>
      </c>
      <c r="AA44" s="145" t="s">
        <v>14</v>
      </c>
      <c r="AB44" s="152" t="s">
        <v>14</v>
      </c>
      <c r="AC44" s="152" t="s">
        <v>14</v>
      </c>
      <c r="AD44" s="152" t="s">
        <v>14</v>
      </c>
      <c r="AE44" s="151"/>
      <c r="AF44" s="155" t="s">
        <v>14</v>
      </c>
      <c r="AG44" s="599" t="s">
        <v>14</v>
      </c>
      <c r="AH44" s="155" t="s">
        <v>14</v>
      </c>
      <c r="AI44" s="155" t="s">
        <v>14</v>
      </c>
      <c r="AJ44" s="155" t="s">
        <v>14</v>
      </c>
      <c r="AK44" s="155"/>
      <c r="AL44" s="148" t="s">
        <v>14</v>
      </c>
      <c r="AM44" s="148" t="s">
        <v>235</v>
      </c>
      <c r="AN44" s="145" t="s">
        <v>14</v>
      </c>
      <c r="AO44" s="153"/>
      <c r="AP44" s="153"/>
      <c r="AQ44" s="153"/>
      <c r="AR44" s="153"/>
      <c r="AS44" s="465"/>
      <c r="AT44" s="430"/>
      <c r="AU44" s="430"/>
      <c r="AV44" s="153"/>
      <c r="AW44" s="153"/>
      <c r="AX44" s="153"/>
      <c r="AY44" s="153"/>
      <c r="AZ44" s="153"/>
      <c r="BA44" s="153"/>
      <c r="BB44" s="153"/>
      <c r="BC44" s="153"/>
      <c r="BD44" s="153"/>
      <c r="BE44" s="479">
        <f t="shared" si="4"/>
        <v>0</v>
      </c>
      <c r="BF44" s="148"/>
      <c r="BG44" s="466"/>
      <c r="BH44" s="153"/>
      <c r="BI44" s="153">
        <v>250000</v>
      </c>
      <c r="BJ44" s="153"/>
      <c r="BK44" s="153">
        <v>450000</v>
      </c>
      <c r="BL44" s="153"/>
      <c r="BM44" s="153"/>
    </row>
    <row r="45" spans="1:66" s="77" customFormat="1" ht="32">
      <c r="A45" s="372" t="s">
        <v>131</v>
      </c>
      <c r="B45" s="145" t="s">
        <v>122</v>
      </c>
      <c r="C45" s="145" t="s">
        <v>8</v>
      </c>
      <c r="D45" s="145" t="s">
        <v>111</v>
      </c>
      <c r="E45" s="145" t="s">
        <v>871</v>
      </c>
      <c r="F45" s="145" t="s">
        <v>115</v>
      </c>
      <c r="G45" s="146">
        <v>1</v>
      </c>
      <c r="H45" s="220" t="s">
        <v>14</v>
      </c>
      <c r="I45" s="147" t="s">
        <v>141</v>
      </c>
      <c r="J45" s="148" t="s">
        <v>14</v>
      </c>
      <c r="K45" s="148" t="s">
        <v>14</v>
      </c>
      <c r="L45" s="148" t="s">
        <v>14</v>
      </c>
      <c r="M45" s="206" t="s">
        <v>14</v>
      </c>
      <c r="N45" s="596" t="s">
        <v>14</v>
      </c>
      <c r="O45" s="206">
        <v>2014</v>
      </c>
      <c r="P45" s="207">
        <v>41974</v>
      </c>
      <c r="Q45" s="210">
        <v>0</v>
      </c>
      <c r="R45" s="207">
        <v>41974</v>
      </c>
      <c r="S45" s="207">
        <v>42430</v>
      </c>
      <c r="T45" s="146">
        <v>60</v>
      </c>
      <c r="U45" s="156"/>
      <c r="V45" s="145" t="s">
        <v>155</v>
      </c>
      <c r="W45" s="145" t="s">
        <v>164</v>
      </c>
      <c r="X45" s="145" t="s">
        <v>165</v>
      </c>
      <c r="Y45" s="145" t="s">
        <v>170</v>
      </c>
      <c r="Z45" s="145" t="s">
        <v>175</v>
      </c>
      <c r="AA45" s="145" t="s">
        <v>14</v>
      </c>
      <c r="AB45" s="152" t="s">
        <v>14</v>
      </c>
      <c r="AC45" s="152" t="s">
        <v>14</v>
      </c>
      <c r="AD45" s="152" t="s">
        <v>14</v>
      </c>
      <c r="AE45" s="151"/>
      <c r="AF45" s="155" t="s">
        <v>14</v>
      </c>
      <c r="AG45" s="599" t="s">
        <v>14</v>
      </c>
      <c r="AH45" s="155" t="s">
        <v>14</v>
      </c>
      <c r="AI45" s="155" t="s">
        <v>14</v>
      </c>
      <c r="AJ45" s="155" t="s">
        <v>14</v>
      </c>
      <c r="AK45" s="155"/>
      <c r="AL45" s="148" t="s">
        <v>14</v>
      </c>
      <c r="AM45" s="148" t="s">
        <v>235</v>
      </c>
      <c r="AN45" s="145" t="s">
        <v>14</v>
      </c>
      <c r="AO45" s="153"/>
      <c r="AP45" s="153"/>
      <c r="AQ45" s="153"/>
      <c r="AR45" s="153"/>
      <c r="AS45" s="465"/>
      <c r="AT45" s="430"/>
      <c r="AU45" s="430"/>
      <c r="AV45" s="153"/>
      <c r="AW45" s="153"/>
      <c r="AX45" s="153"/>
      <c r="AY45" s="153"/>
      <c r="AZ45" s="153"/>
      <c r="BA45" s="153"/>
      <c r="BB45" s="153"/>
      <c r="BC45" s="153"/>
      <c r="BD45" s="153"/>
      <c r="BE45" s="479">
        <f t="shared" si="4"/>
        <v>0</v>
      </c>
      <c r="BF45" s="148"/>
      <c r="BG45" s="466"/>
      <c r="BH45" s="153"/>
      <c r="BI45" s="153">
        <v>250000</v>
      </c>
      <c r="BJ45" s="153"/>
      <c r="BK45" s="153">
        <v>450000</v>
      </c>
      <c r="BL45" s="153"/>
      <c r="BM45" s="153"/>
    </row>
    <row r="46" spans="1:66" s="77" customFormat="1" ht="32">
      <c r="A46" s="372" t="s">
        <v>244</v>
      </c>
      <c r="B46" s="145" t="s">
        <v>118</v>
      </c>
      <c r="C46" s="145" t="s">
        <v>5</v>
      </c>
      <c r="D46" s="145" t="s">
        <v>111</v>
      </c>
      <c r="E46" s="145" t="s">
        <v>871</v>
      </c>
      <c r="F46" s="145" t="s">
        <v>54</v>
      </c>
      <c r="G46" s="146">
        <v>1</v>
      </c>
      <c r="H46" s="220" t="s">
        <v>130</v>
      </c>
      <c r="I46" s="298" t="s">
        <v>141</v>
      </c>
      <c r="J46" s="215" t="s">
        <v>201</v>
      </c>
      <c r="K46" s="215" t="s">
        <v>189</v>
      </c>
      <c r="L46" s="215" t="s">
        <v>14</v>
      </c>
      <c r="M46" s="206">
        <v>2014</v>
      </c>
      <c r="N46" s="596" t="s">
        <v>14</v>
      </c>
      <c r="O46" s="206">
        <v>2014</v>
      </c>
      <c r="P46" s="207">
        <v>41974</v>
      </c>
      <c r="Q46" s="210">
        <v>0</v>
      </c>
      <c r="R46" s="207">
        <v>42005</v>
      </c>
      <c r="S46" s="207">
        <v>42339</v>
      </c>
      <c r="T46" s="220">
        <v>65</v>
      </c>
      <c r="U46" s="216" t="s">
        <v>246</v>
      </c>
      <c r="V46" s="216" t="s">
        <v>138</v>
      </c>
      <c r="W46" s="216" t="s">
        <v>162</v>
      </c>
      <c r="X46" s="216" t="s">
        <v>165</v>
      </c>
      <c r="Y46" s="216" t="s">
        <v>171</v>
      </c>
      <c r="Z46" s="145" t="s">
        <v>175</v>
      </c>
      <c r="AA46" s="145" t="s">
        <v>14</v>
      </c>
      <c r="AB46" s="154">
        <v>20000000</v>
      </c>
      <c r="AC46" s="150">
        <f>AD46*10</f>
        <v>18500000</v>
      </c>
      <c r="AD46" s="154">
        <v>1850000</v>
      </c>
      <c r="AE46" s="214">
        <v>0.93400000000000005</v>
      </c>
      <c r="AF46" s="167">
        <f>AC46*AE46</f>
        <v>17279000</v>
      </c>
      <c r="AG46" s="599" t="s">
        <v>14</v>
      </c>
      <c r="AH46" s="299">
        <v>1737500</v>
      </c>
      <c r="AI46" s="150">
        <f>AH46*0.25</f>
        <v>434375</v>
      </c>
      <c r="AJ46" s="150">
        <f t="shared" ref="AJ46" si="9">AH46-AI46</f>
        <v>1303125</v>
      </c>
      <c r="AK46" s="172"/>
      <c r="AL46" s="148">
        <v>1</v>
      </c>
      <c r="AM46" s="148" t="s">
        <v>235</v>
      </c>
      <c r="AN46" s="145" t="s">
        <v>16</v>
      </c>
      <c r="AO46" s="153"/>
      <c r="AP46" s="153"/>
      <c r="AQ46" s="153"/>
      <c r="AR46" s="153"/>
      <c r="AS46" s="465"/>
      <c r="AT46" s="430"/>
      <c r="AU46" s="430"/>
      <c r="AV46" s="153"/>
      <c r="AW46" s="153"/>
      <c r="AX46" s="153"/>
      <c r="AY46" s="153"/>
      <c r="AZ46" s="153"/>
      <c r="BA46" s="153"/>
      <c r="BB46" s="153"/>
      <c r="BC46" s="153"/>
      <c r="BD46" s="153"/>
      <c r="BE46" s="479">
        <f t="shared" si="4"/>
        <v>0</v>
      </c>
      <c r="BF46" s="148"/>
      <c r="BG46" s="466"/>
      <c r="BH46" s="153"/>
      <c r="BI46" s="203">
        <f>0.25*AJ46</f>
        <v>325781.25</v>
      </c>
      <c r="BJ46" s="203"/>
      <c r="BK46" s="203">
        <f>0.25*AJ46</f>
        <v>325781.25</v>
      </c>
      <c r="BL46" s="203">
        <f>0.4*AJ46</f>
        <v>521250</v>
      </c>
      <c r="BM46" s="203">
        <v>130312.5</v>
      </c>
      <c r="BN46" s="82"/>
    </row>
    <row r="47" spans="1:66" s="77" customFormat="1" ht="16">
      <c r="A47" s="372" t="s">
        <v>82</v>
      </c>
      <c r="B47" s="145" t="s">
        <v>109</v>
      </c>
      <c r="C47" s="145" t="s">
        <v>8</v>
      </c>
      <c r="D47" s="145" t="str">
        <f>'Pipeline Demographics-Active'!A44</f>
        <v>Refinance/ Rehab</v>
      </c>
      <c r="E47" s="145" t="s">
        <v>871</v>
      </c>
      <c r="F47" s="145" t="str">
        <f>'Pipeline Demographics-Active'!A60</f>
        <v>Feasibility</v>
      </c>
      <c r="G47" s="146">
        <v>1</v>
      </c>
      <c r="H47" s="220">
        <v>0</v>
      </c>
      <c r="I47" s="147" t="s">
        <v>192</v>
      </c>
      <c r="J47" s="148" t="s">
        <v>14</v>
      </c>
      <c r="K47" s="148" t="s">
        <v>14</v>
      </c>
      <c r="L47" s="148" t="s">
        <v>14</v>
      </c>
      <c r="M47" s="206">
        <v>2013</v>
      </c>
      <c r="N47" s="596" t="s">
        <v>14</v>
      </c>
      <c r="O47" s="206">
        <v>2013</v>
      </c>
      <c r="P47" s="207">
        <v>41609</v>
      </c>
      <c r="Q47" s="210">
        <v>0</v>
      </c>
      <c r="R47" s="207">
        <v>41609</v>
      </c>
      <c r="S47" s="207">
        <v>42064</v>
      </c>
      <c r="T47" s="146">
        <v>315</v>
      </c>
      <c r="U47" s="145" t="s">
        <v>30</v>
      </c>
      <c r="V47" s="145" t="s">
        <v>156</v>
      </c>
      <c r="W47" s="145" t="s">
        <v>134</v>
      </c>
      <c r="X47" s="145" t="s">
        <v>67</v>
      </c>
      <c r="Y47" s="145" t="s">
        <v>156</v>
      </c>
      <c r="Z47" s="145" t="s">
        <v>176</v>
      </c>
      <c r="AA47" s="145" t="s">
        <v>179</v>
      </c>
      <c r="AB47" s="150">
        <f>(65000*1.5)*T47</f>
        <v>30712500</v>
      </c>
      <c r="AC47" s="150">
        <f>IF(I47="LIHTC - 9%",AB47*0.75,0)+IF(I47="LIHTC - 4%",AB47*30%,0)</f>
        <v>9213750</v>
      </c>
      <c r="AD47" s="150">
        <f>AC47/10</f>
        <v>921375</v>
      </c>
      <c r="AE47" s="151">
        <v>0.72</v>
      </c>
      <c r="AF47" s="150">
        <f>AC47*AE47</f>
        <v>6633900</v>
      </c>
      <c r="AG47" s="599" t="s">
        <v>14</v>
      </c>
      <c r="AH47" s="150">
        <f>AB47*9.7%</f>
        <v>2979112.4999999995</v>
      </c>
      <c r="AI47" s="152">
        <v>1979113</v>
      </c>
      <c r="AJ47" s="150">
        <f>AH47-AI47</f>
        <v>999999.49999999953</v>
      </c>
      <c r="AK47" s="150"/>
      <c r="AL47" s="148">
        <v>1</v>
      </c>
      <c r="AM47" s="148" t="s">
        <v>235</v>
      </c>
      <c r="AN47" s="145" t="s">
        <v>16</v>
      </c>
      <c r="AO47" s="153"/>
      <c r="AP47" s="153"/>
      <c r="AQ47" s="153"/>
      <c r="AR47" s="153"/>
      <c r="AS47" s="465"/>
      <c r="AT47" s="430"/>
      <c r="AU47" s="430"/>
      <c r="AV47" s="153"/>
      <c r="AW47" s="153"/>
      <c r="AX47" s="153"/>
      <c r="AY47" s="153"/>
      <c r="AZ47" s="153"/>
      <c r="BA47" s="153"/>
      <c r="BB47" s="153"/>
      <c r="BC47" s="153"/>
      <c r="BD47" s="153"/>
      <c r="BE47" s="479">
        <f t="shared" si="4"/>
        <v>0</v>
      </c>
      <c r="BF47" s="148"/>
      <c r="BG47" s="466">
        <f>BE47*(1-BF47)</f>
        <v>0</v>
      </c>
      <c r="BH47" s="153">
        <v>250000</v>
      </c>
      <c r="BI47" s="153">
        <v>350000</v>
      </c>
      <c r="BJ47" s="153">
        <v>400000</v>
      </c>
      <c r="BK47" s="153"/>
      <c r="BL47" s="153"/>
      <c r="BM47" s="153"/>
    </row>
    <row r="48" spans="1:66" s="88" customFormat="1" ht="28.5" customHeight="1">
      <c r="A48" s="373" t="s">
        <v>756</v>
      </c>
      <c r="B48" s="157"/>
      <c r="C48" s="157" t="s">
        <v>757</v>
      </c>
      <c r="D48" s="157" t="s">
        <v>248</v>
      </c>
      <c r="E48" s="145" t="s">
        <v>871</v>
      </c>
      <c r="F48" s="145" t="s">
        <v>54</v>
      </c>
      <c r="G48" s="158">
        <v>1</v>
      </c>
      <c r="H48" s="158" t="s">
        <v>14</v>
      </c>
      <c r="I48" s="159"/>
      <c r="J48" s="157"/>
      <c r="K48" s="157"/>
      <c r="L48" s="157"/>
      <c r="M48" s="157"/>
      <c r="N48" s="594"/>
      <c r="O48" s="157">
        <v>2015</v>
      </c>
      <c r="P48" s="157"/>
      <c r="Q48" s="160"/>
      <c r="R48" s="157"/>
      <c r="S48" s="157"/>
      <c r="T48" s="158"/>
      <c r="U48" s="157"/>
      <c r="V48" s="157" t="s">
        <v>156</v>
      </c>
      <c r="W48" s="157"/>
      <c r="X48" s="157"/>
      <c r="Y48" s="157" t="s">
        <v>156</v>
      </c>
      <c r="Z48" s="157"/>
      <c r="AA48" s="157" t="s">
        <v>14</v>
      </c>
      <c r="AB48" s="161"/>
      <c r="AC48" s="161"/>
      <c r="AD48" s="161"/>
      <c r="AE48" s="162"/>
      <c r="AF48" s="163"/>
      <c r="AG48" s="518"/>
      <c r="AH48" s="163"/>
      <c r="AI48" s="163"/>
      <c r="AJ48" s="163"/>
      <c r="AK48" s="163"/>
      <c r="AL48" s="157"/>
      <c r="AM48" s="148" t="s">
        <v>235</v>
      </c>
      <c r="AN48" s="157"/>
      <c r="AO48" s="164"/>
      <c r="AP48" s="164"/>
      <c r="AQ48" s="164"/>
      <c r="AR48" s="164"/>
      <c r="AS48" s="465"/>
      <c r="AT48" s="430"/>
      <c r="AU48" s="430"/>
      <c r="AV48" s="164"/>
      <c r="AW48" s="164"/>
      <c r="AX48" s="164"/>
      <c r="AY48" s="164"/>
      <c r="AZ48" s="164"/>
      <c r="BA48" s="164"/>
      <c r="BB48" s="164"/>
      <c r="BC48" s="164"/>
      <c r="BD48" s="164"/>
      <c r="BE48" s="479">
        <f t="shared" si="4"/>
        <v>0</v>
      </c>
      <c r="BF48" s="160"/>
      <c r="BG48" s="471"/>
      <c r="BH48" s="164"/>
      <c r="BI48" s="164"/>
      <c r="BJ48" s="164">
        <v>500000</v>
      </c>
      <c r="BK48" s="164"/>
      <c r="BL48" s="164">
        <v>500000</v>
      </c>
      <c r="BM48" s="164"/>
    </row>
    <row r="49" spans="1:65" s="88" customFormat="1" ht="16">
      <c r="A49" s="373" t="s">
        <v>205</v>
      </c>
      <c r="B49" s="157"/>
      <c r="C49" s="145" t="s">
        <v>8</v>
      </c>
      <c r="D49" s="145" t="s">
        <v>111</v>
      </c>
      <c r="E49" s="145" t="s">
        <v>871</v>
      </c>
      <c r="F49" s="157" t="s">
        <v>54</v>
      </c>
      <c r="G49" s="158">
        <v>1</v>
      </c>
      <c r="H49" s="158" t="s">
        <v>14</v>
      </c>
      <c r="I49" s="159"/>
      <c r="J49" s="157"/>
      <c r="K49" s="157"/>
      <c r="L49" s="157"/>
      <c r="M49" s="157"/>
      <c r="N49" s="594"/>
      <c r="O49" s="157">
        <v>2015</v>
      </c>
      <c r="P49" s="157"/>
      <c r="Q49" s="160"/>
      <c r="R49" s="157"/>
      <c r="S49" s="157"/>
      <c r="T49" s="158"/>
      <c r="U49" s="157"/>
      <c r="V49" s="157" t="s">
        <v>156</v>
      </c>
      <c r="W49" s="157"/>
      <c r="X49" s="157"/>
      <c r="Y49" s="157" t="s">
        <v>156</v>
      </c>
      <c r="Z49" s="157"/>
      <c r="AA49" s="157" t="s">
        <v>14</v>
      </c>
      <c r="AB49" s="161"/>
      <c r="AC49" s="161"/>
      <c r="AD49" s="161"/>
      <c r="AE49" s="162"/>
      <c r="AF49" s="163"/>
      <c r="AG49" s="518"/>
      <c r="AH49" s="163"/>
      <c r="AI49" s="163"/>
      <c r="AJ49" s="163"/>
      <c r="AK49" s="163"/>
      <c r="AL49" s="157"/>
      <c r="AM49" s="148" t="s">
        <v>235</v>
      </c>
      <c r="AN49" s="157"/>
      <c r="AO49" s="164"/>
      <c r="AP49" s="164"/>
      <c r="AQ49" s="164"/>
      <c r="AR49" s="164"/>
      <c r="AS49" s="465"/>
      <c r="AT49" s="430"/>
      <c r="AU49" s="430"/>
      <c r="AV49" s="164"/>
      <c r="AW49" s="164"/>
      <c r="AX49" s="164"/>
      <c r="AY49" s="164"/>
      <c r="AZ49" s="164"/>
      <c r="BA49" s="164"/>
      <c r="BB49" s="164"/>
      <c r="BC49" s="164"/>
      <c r="BD49" s="164"/>
      <c r="BE49" s="479">
        <f t="shared" si="4"/>
        <v>0</v>
      </c>
      <c r="BF49" s="160"/>
      <c r="BG49" s="471"/>
      <c r="BH49" s="164"/>
      <c r="BI49" s="164"/>
      <c r="BJ49" s="164">
        <v>500000</v>
      </c>
      <c r="BK49" s="164"/>
      <c r="BL49" s="164">
        <v>500000</v>
      </c>
      <c r="BM49" s="164"/>
    </row>
    <row r="50" spans="1:65" s="88" customFormat="1" ht="16">
      <c r="A50" s="165" t="s">
        <v>755</v>
      </c>
      <c r="B50" s="157"/>
      <c r="C50" s="145" t="s">
        <v>8</v>
      </c>
      <c r="D50" s="157" t="s">
        <v>247</v>
      </c>
      <c r="E50" s="145" t="s">
        <v>871</v>
      </c>
      <c r="F50" s="157" t="s">
        <v>54</v>
      </c>
      <c r="G50" s="158"/>
      <c r="H50" s="158" t="s">
        <v>14</v>
      </c>
      <c r="I50" s="159"/>
      <c r="J50" s="157"/>
      <c r="K50" s="157"/>
      <c r="L50" s="157"/>
      <c r="M50" s="157"/>
      <c r="N50" s="157"/>
      <c r="O50" s="157"/>
      <c r="P50" s="157"/>
      <c r="Q50" s="160"/>
      <c r="R50" s="157"/>
      <c r="S50" s="157"/>
      <c r="T50" s="158"/>
      <c r="U50" s="157"/>
      <c r="V50" s="157" t="s">
        <v>155</v>
      </c>
      <c r="W50" s="157"/>
      <c r="X50" s="157"/>
      <c r="Y50" s="157" t="s">
        <v>170</v>
      </c>
      <c r="Z50" s="157"/>
      <c r="AA50" s="157"/>
      <c r="AB50" s="161"/>
      <c r="AC50" s="161"/>
      <c r="AD50" s="161"/>
      <c r="AE50" s="162"/>
      <c r="AF50" s="163"/>
      <c r="AG50" s="518"/>
      <c r="AH50" s="163"/>
      <c r="AI50" s="163"/>
      <c r="AJ50" s="163"/>
      <c r="AK50" s="163"/>
      <c r="AL50" s="157"/>
      <c r="AM50" s="157"/>
      <c r="AN50" s="157"/>
      <c r="AO50" s="164"/>
      <c r="AP50" s="164"/>
      <c r="AQ50" s="164"/>
      <c r="AR50" s="164"/>
      <c r="AS50" s="465"/>
      <c r="AT50" s="430"/>
      <c r="AU50" s="430"/>
      <c r="AV50" s="164"/>
      <c r="AW50" s="164"/>
      <c r="AX50" s="164"/>
      <c r="AY50" s="164"/>
      <c r="AZ50" s="164"/>
      <c r="BA50" s="164"/>
      <c r="BB50" s="164"/>
      <c r="BC50" s="164"/>
      <c r="BD50" s="164"/>
      <c r="BE50" s="479">
        <f t="shared" si="4"/>
        <v>0</v>
      </c>
      <c r="BF50" s="160"/>
      <c r="BG50" s="471"/>
      <c r="BH50" s="164"/>
      <c r="BI50" s="164"/>
      <c r="BJ50" s="164"/>
      <c r="BK50" s="164"/>
      <c r="BL50" s="164"/>
      <c r="BM50" s="164"/>
    </row>
    <row r="51" spans="1:65" s="88" customFormat="1">
      <c r="A51" s="165"/>
      <c r="B51" s="157"/>
      <c r="C51" s="157"/>
      <c r="D51" s="157"/>
      <c r="E51" s="157"/>
      <c r="F51" s="157"/>
      <c r="G51" s="158"/>
      <c r="H51" s="158"/>
      <c r="I51" s="159"/>
      <c r="J51" s="157"/>
      <c r="K51" s="157"/>
      <c r="L51" s="157"/>
      <c r="M51" s="157"/>
      <c r="N51" s="157"/>
      <c r="O51" s="157"/>
      <c r="P51" s="157"/>
      <c r="Q51" s="160"/>
      <c r="R51" s="157"/>
      <c r="S51" s="157"/>
      <c r="T51" s="158"/>
      <c r="U51" s="157"/>
      <c r="V51" s="157"/>
      <c r="W51" s="157"/>
      <c r="X51" s="157"/>
      <c r="Y51" s="157"/>
      <c r="Z51" s="157"/>
      <c r="AA51" s="157"/>
      <c r="AB51" s="161"/>
      <c r="AC51" s="161"/>
      <c r="AD51" s="161"/>
      <c r="AE51" s="162"/>
      <c r="AF51" s="163"/>
      <c r="AG51" s="163"/>
      <c r="AH51" s="163"/>
      <c r="AI51" s="163"/>
      <c r="AJ51" s="163"/>
      <c r="AK51" s="163"/>
      <c r="AL51" s="157"/>
      <c r="AM51" s="157"/>
      <c r="AN51" s="157"/>
      <c r="AO51" s="164"/>
      <c r="AP51" s="164"/>
      <c r="AQ51" s="164"/>
      <c r="AR51" s="164"/>
      <c r="AS51" s="465"/>
      <c r="AT51" s="430"/>
      <c r="AU51" s="430"/>
      <c r="AV51" s="164"/>
      <c r="AW51" s="164"/>
      <c r="AX51" s="164"/>
      <c r="AY51" s="164"/>
      <c r="AZ51" s="164"/>
      <c r="BA51" s="164"/>
      <c r="BB51" s="164"/>
      <c r="BC51" s="164"/>
      <c r="BD51" s="164"/>
      <c r="BE51" s="479">
        <f t="shared" si="4"/>
        <v>0</v>
      </c>
      <c r="BF51" s="160"/>
      <c r="BG51" s="471"/>
      <c r="BH51" s="164"/>
      <c r="BI51" s="164"/>
      <c r="BJ51" s="164"/>
      <c r="BK51" s="164"/>
      <c r="BL51" s="164"/>
      <c r="BM51" s="164"/>
    </row>
    <row r="52" spans="1:65" s="88" customFormat="1">
      <c r="A52" s="165"/>
      <c r="B52" s="157"/>
      <c r="C52" s="157"/>
      <c r="D52" s="157"/>
      <c r="E52" s="157"/>
      <c r="F52" s="157"/>
      <c r="G52" s="158"/>
      <c r="H52" s="158"/>
      <c r="I52" s="159"/>
      <c r="J52" s="157"/>
      <c r="K52" s="157"/>
      <c r="L52" s="157"/>
      <c r="M52" s="157"/>
      <c r="N52" s="157"/>
      <c r="O52" s="157"/>
      <c r="P52" s="157"/>
      <c r="Q52" s="160"/>
      <c r="R52" s="157"/>
      <c r="S52" s="157"/>
      <c r="T52" s="158"/>
      <c r="U52" s="157"/>
      <c r="V52" s="157"/>
      <c r="W52" s="157"/>
      <c r="X52" s="157"/>
      <c r="Y52" s="157"/>
      <c r="Z52" s="157"/>
      <c r="AA52" s="157"/>
      <c r="AB52" s="161"/>
      <c r="AC52" s="161"/>
      <c r="AD52" s="161"/>
      <c r="AE52" s="162"/>
      <c r="AF52" s="163"/>
      <c r="AG52" s="163"/>
      <c r="AH52" s="163"/>
      <c r="AI52" s="163"/>
      <c r="AJ52" s="163"/>
      <c r="AK52" s="163"/>
      <c r="AL52" s="157"/>
      <c r="AM52" s="157"/>
      <c r="AN52" s="157"/>
      <c r="AO52" s="164"/>
      <c r="AP52" s="164"/>
      <c r="AQ52" s="164"/>
      <c r="AR52" s="164"/>
      <c r="AS52" s="465"/>
      <c r="AT52" s="430"/>
      <c r="AU52" s="430"/>
      <c r="AV52" s="164"/>
      <c r="AW52" s="164"/>
      <c r="AX52" s="164"/>
      <c r="AY52" s="164"/>
      <c r="AZ52" s="164"/>
      <c r="BA52" s="164"/>
      <c r="BB52" s="164"/>
      <c r="BC52" s="164"/>
      <c r="BD52" s="164"/>
      <c r="BE52" s="479">
        <f t="shared" si="4"/>
        <v>0</v>
      </c>
      <c r="BF52" s="160"/>
      <c r="BG52" s="471"/>
      <c r="BH52" s="164"/>
      <c r="BI52" s="164"/>
      <c r="BJ52" s="164"/>
      <c r="BK52" s="164"/>
      <c r="BL52" s="164"/>
      <c r="BM52" s="164"/>
    </row>
    <row r="53" spans="1:65" s="88" customFormat="1">
      <c r="A53" s="165"/>
      <c r="B53" s="157"/>
      <c r="C53" s="157"/>
      <c r="D53" s="157"/>
      <c r="E53" s="157"/>
      <c r="F53" s="157"/>
      <c r="G53" s="158"/>
      <c r="H53" s="158"/>
      <c r="I53" s="159"/>
      <c r="J53" s="157"/>
      <c r="K53" s="157"/>
      <c r="L53" s="157"/>
      <c r="M53" s="157"/>
      <c r="N53" s="157"/>
      <c r="O53" s="157"/>
      <c r="P53" s="157"/>
      <c r="Q53" s="160"/>
      <c r="R53" s="157"/>
      <c r="S53" s="157"/>
      <c r="T53" s="158"/>
      <c r="U53" s="157"/>
      <c r="V53" s="157"/>
      <c r="W53" s="157"/>
      <c r="X53" s="157"/>
      <c r="Y53" s="157"/>
      <c r="Z53" s="157"/>
      <c r="AA53" s="157"/>
      <c r="AB53" s="161"/>
      <c r="AC53" s="161"/>
      <c r="AD53" s="161"/>
      <c r="AE53" s="162"/>
      <c r="AF53" s="163"/>
      <c r="AG53" s="163"/>
      <c r="AH53" s="163"/>
      <c r="AI53" s="163"/>
      <c r="AJ53" s="163"/>
      <c r="AK53" s="163"/>
      <c r="AL53" s="157"/>
      <c r="AM53" s="157"/>
      <c r="AN53" s="157"/>
      <c r="AO53" s="164"/>
      <c r="AP53" s="164"/>
      <c r="AQ53" s="164"/>
      <c r="AR53" s="164"/>
      <c r="AS53" s="465"/>
      <c r="AT53" s="430"/>
      <c r="AU53" s="430"/>
      <c r="AV53" s="164"/>
      <c r="AW53" s="164"/>
      <c r="AX53" s="164"/>
      <c r="AY53" s="164"/>
      <c r="AZ53" s="164"/>
      <c r="BA53" s="164"/>
      <c r="BB53" s="164"/>
      <c r="BC53" s="164"/>
      <c r="BD53" s="164"/>
      <c r="BE53" s="479">
        <f t="shared" si="4"/>
        <v>0</v>
      </c>
      <c r="BF53" s="160"/>
      <c r="BG53" s="471"/>
      <c r="BH53" s="164"/>
      <c r="BI53" s="164"/>
      <c r="BJ53" s="164"/>
      <c r="BK53" s="164"/>
      <c r="BL53" s="164"/>
      <c r="BM53" s="164"/>
    </row>
    <row r="54" spans="1:65" s="88" customFormat="1">
      <c r="A54" s="165"/>
      <c r="B54" s="157"/>
      <c r="C54" s="157"/>
      <c r="D54" s="157"/>
      <c r="E54" s="157"/>
      <c r="F54" s="157"/>
      <c r="G54" s="158"/>
      <c r="H54" s="158"/>
      <c r="I54" s="159"/>
      <c r="J54" s="157"/>
      <c r="K54" s="157"/>
      <c r="L54" s="157"/>
      <c r="M54" s="157"/>
      <c r="N54" s="157"/>
      <c r="O54" s="157"/>
      <c r="P54" s="157"/>
      <c r="Q54" s="160"/>
      <c r="R54" s="157"/>
      <c r="S54" s="157"/>
      <c r="T54" s="158"/>
      <c r="U54" s="157"/>
      <c r="V54" s="157"/>
      <c r="W54" s="157"/>
      <c r="X54" s="157"/>
      <c r="Y54" s="157"/>
      <c r="Z54" s="157"/>
      <c r="AA54" s="157"/>
      <c r="AB54" s="161"/>
      <c r="AC54" s="161"/>
      <c r="AD54" s="161"/>
      <c r="AE54" s="162"/>
      <c r="AF54" s="163"/>
      <c r="AG54" s="163"/>
      <c r="AH54" s="163"/>
      <c r="AI54" s="163"/>
      <c r="AJ54" s="163"/>
      <c r="AK54" s="163"/>
      <c r="AL54" s="157"/>
      <c r="AM54" s="157"/>
      <c r="AN54" s="157"/>
      <c r="AO54" s="164"/>
      <c r="AP54" s="164"/>
      <c r="AQ54" s="164"/>
      <c r="AR54" s="164"/>
      <c r="AS54" s="465"/>
      <c r="AT54" s="430"/>
      <c r="AU54" s="430"/>
      <c r="AV54" s="164"/>
      <c r="AW54" s="164"/>
      <c r="AX54" s="164"/>
      <c r="AY54" s="164"/>
      <c r="AZ54" s="164"/>
      <c r="BA54" s="164"/>
      <c r="BB54" s="164"/>
      <c r="BC54" s="164"/>
      <c r="BD54" s="164"/>
      <c r="BE54" s="479">
        <f t="shared" si="4"/>
        <v>0</v>
      </c>
      <c r="BF54" s="160"/>
      <c r="BG54" s="471"/>
      <c r="BH54" s="164"/>
      <c r="BI54" s="164"/>
      <c r="BJ54" s="164"/>
      <c r="BK54" s="164"/>
      <c r="BL54" s="164"/>
      <c r="BM54" s="164"/>
    </row>
    <row r="55" spans="1:65" s="88" customFormat="1">
      <c r="A55" s="165"/>
      <c r="B55" s="157"/>
      <c r="C55" s="157"/>
      <c r="D55" s="157"/>
      <c r="E55" s="157"/>
      <c r="F55" s="157"/>
      <c r="G55" s="158"/>
      <c r="H55" s="158"/>
      <c r="I55" s="159"/>
      <c r="J55" s="157"/>
      <c r="K55" s="157"/>
      <c r="L55" s="157"/>
      <c r="M55" s="157"/>
      <c r="N55" s="157"/>
      <c r="O55" s="157"/>
      <c r="P55" s="157"/>
      <c r="Q55" s="160"/>
      <c r="R55" s="157"/>
      <c r="S55" s="157"/>
      <c r="T55" s="158"/>
      <c r="U55" s="157"/>
      <c r="V55" s="157"/>
      <c r="W55" s="157"/>
      <c r="X55" s="157"/>
      <c r="Y55" s="157"/>
      <c r="Z55" s="157"/>
      <c r="AA55" s="157"/>
      <c r="AB55" s="161"/>
      <c r="AC55" s="161"/>
      <c r="AD55" s="161"/>
      <c r="AE55" s="162"/>
      <c r="AF55" s="163"/>
      <c r="AG55" s="163"/>
      <c r="AH55" s="163"/>
      <c r="AI55" s="163"/>
      <c r="AJ55" s="163"/>
      <c r="AK55" s="163"/>
      <c r="AL55" s="157"/>
      <c r="AM55" s="157"/>
      <c r="AN55" s="157"/>
      <c r="AO55" s="164"/>
      <c r="AP55" s="164"/>
      <c r="AQ55" s="164"/>
      <c r="AR55" s="164"/>
      <c r="AS55" s="465"/>
      <c r="AT55" s="430"/>
      <c r="AU55" s="430"/>
      <c r="AV55" s="164"/>
      <c r="AW55" s="164"/>
      <c r="AX55" s="164"/>
      <c r="AY55" s="164"/>
      <c r="AZ55" s="164"/>
      <c r="BA55" s="164"/>
      <c r="BB55" s="164"/>
      <c r="BC55" s="164"/>
      <c r="BD55" s="164"/>
      <c r="BE55" s="479">
        <f t="shared" si="4"/>
        <v>0</v>
      </c>
      <c r="BF55" s="160"/>
      <c r="BG55" s="471"/>
      <c r="BH55" s="164"/>
      <c r="BI55" s="164"/>
      <c r="BJ55" s="164"/>
      <c r="BK55" s="164"/>
      <c r="BL55" s="164"/>
      <c r="BM55" s="164"/>
    </row>
    <row r="56" spans="1:65" s="88" customFormat="1">
      <c r="B56" s="83"/>
      <c r="C56" s="83"/>
      <c r="D56" s="83"/>
      <c r="E56" s="83"/>
      <c r="F56" s="83"/>
      <c r="G56" s="84"/>
      <c r="H56" s="84"/>
      <c r="I56" s="85"/>
      <c r="J56" s="83"/>
      <c r="K56" s="83"/>
      <c r="L56" s="83"/>
      <c r="M56" s="83"/>
      <c r="N56" s="83"/>
      <c r="O56" s="83"/>
      <c r="P56" s="83"/>
      <c r="Q56" s="87"/>
      <c r="R56" s="83"/>
      <c r="S56" s="83"/>
      <c r="T56" s="84"/>
      <c r="U56" s="83"/>
      <c r="V56" s="83"/>
      <c r="W56" s="83"/>
      <c r="X56" s="83"/>
      <c r="Y56" s="83"/>
      <c r="Z56" s="83"/>
      <c r="AA56" s="83"/>
      <c r="AB56" s="117"/>
      <c r="AC56" s="117"/>
      <c r="AD56" s="117"/>
      <c r="AE56" s="101"/>
      <c r="AF56" s="111"/>
      <c r="AG56" s="111"/>
      <c r="AH56" s="111"/>
      <c r="AI56" s="111"/>
      <c r="AJ56" s="111"/>
      <c r="AK56" s="111"/>
      <c r="AL56" s="83"/>
      <c r="AM56" s="83"/>
      <c r="AN56" s="83"/>
      <c r="AO56" s="86"/>
      <c r="AP56" s="86"/>
      <c r="AQ56" s="86"/>
      <c r="AR56" s="86"/>
      <c r="AS56" s="470"/>
      <c r="AT56" s="429"/>
      <c r="AU56" s="429"/>
      <c r="AV56" s="86"/>
      <c r="AW56" s="86"/>
      <c r="AX56" s="86"/>
      <c r="AY56" s="86"/>
      <c r="AZ56" s="86"/>
      <c r="BA56" s="86"/>
      <c r="BB56" s="86"/>
      <c r="BC56" s="86"/>
      <c r="BD56" s="86"/>
      <c r="BE56" s="480"/>
      <c r="BF56" s="87"/>
      <c r="BG56" s="472"/>
      <c r="BH56" s="86"/>
      <c r="BI56" s="86"/>
      <c r="BJ56" s="86"/>
      <c r="BK56" s="86"/>
      <c r="BL56" s="86"/>
      <c r="BM56" s="86"/>
    </row>
    <row r="57" spans="1:65" s="94" customFormat="1" ht="16">
      <c r="A57" s="90" t="s">
        <v>151</v>
      </c>
      <c r="B57" s="91"/>
      <c r="C57" s="91"/>
      <c r="D57" s="91"/>
      <c r="E57" s="91"/>
      <c r="F57" s="91"/>
      <c r="G57" s="92"/>
      <c r="H57" s="92"/>
      <c r="I57" s="92"/>
      <c r="J57" s="93"/>
      <c r="K57" s="93"/>
      <c r="L57" s="93"/>
      <c r="M57" s="91"/>
      <c r="N57" s="91"/>
      <c r="O57" s="91"/>
      <c r="P57" s="91"/>
      <c r="Q57" s="97"/>
      <c r="R57" s="91"/>
      <c r="S57" s="91"/>
      <c r="T57" s="92"/>
      <c r="U57" s="91"/>
      <c r="V57" s="91"/>
      <c r="W57" s="91"/>
      <c r="X57" s="91"/>
      <c r="Y57" s="91"/>
      <c r="Z57" s="91"/>
      <c r="AA57" s="91"/>
      <c r="AB57" s="118"/>
      <c r="AC57" s="118"/>
      <c r="AD57" s="118"/>
      <c r="AE57" s="102"/>
      <c r="AF57" s="119"/>
      <c r="AG57" s="119"/>
      <c r="AH57" s="119"/>
      <c r="AI57" s="119"/>
      <c r="AJ57" s="119"/>
      <c r="AK57" s="119"/>
      <c r="AL57" s="91"/>
      <c r="AM57" s="91"/>
      <c r="AN57" s="91"/>
      <c r="AO57" s="92">
        <f t="shared" ref="AO57:AT57" si="10">SUM(AO26:AO55)</f>
        <v>360000</v>
      </c>
      <c r="AP57" s="92">
        <f t="shared" si="10"/>
        <v>922051.5</v>
      </c>
      <c r="AQ57" s="92">
        <f t="shared" si="10"/>
        <v>697817.48225299991</v>
      </c>
      <c r="AR57" s="92">
        <f t="shared" si="10"/>
        <v>1404313</v>
      </c>
      <c r="AS57" s="92">
        <f t="shared" si="10"/>
        <v>0</v>
      </c>
      <c r="AT57" s="92">
        <f t="shared" si="10"/>
        <v>0</v>
      </c>
      <c r="AU57" s="92">
        <f t="shared" ref="AU57:BD57" si="11">SUM(AU26:AU55)</f>
        <v>0</v>
      </c>
      <c r="AV57" s="92">
        <f t="shared" si="11"/>
        <v>540000</v>
      </c>
      <c r="AW57" s="92">
        <f t="shared" si="11"/>
        <v>287786</v>
      </c>
      <c r="AX57" s="92">
        <f t="shared" si="11"/>
        <v>307201</v>
      </c>
      <c r="AY57" s="92">
        <f t="shared" si="11"/>
        <v>750000</v>
      </c>
      <c r="AZ57" s="92">
        <f t="shared" si="11"/>
        <v>0</v>
      </c>
      <c r="BA57" s="92">
        <f t="shared" si="11"/>
        <v>599488</v>
      </c>
      <c r="BB57" s="92">
        <f t="shared" si="11"/>
        <v>970682</v>
      </c>
      <c r="BC57" s="92">
        <f t="shared" si="11"/>
        <v>750000</v>
      </c>
      <c r="BD57" s="92">
        <f t="shared" si="11"/>
        <v>659114</v>
      </c>
      <c r="BE57" s="92">
        <f>SUM(BE26:BE55)</f>
        <v>4864271</v>
      </c>
      <c r="BF57" s="92"/>
      <c r="BG57" s="92">
        <f t="shared" ref="BG57:BM57" si="12">SUM(BG26:BG55)</f>
        <v>2887333.8</v>
      </c>
      <c r="BH57" s="92">
        <f t="shared" si="12"/>
        <v>2997473.5</v>
      </c>
      <c r="BI57" s="92">
        <f t="shared" si="12"/>
        <v>5110925.875</v>
      </c>
      <c r="BJ57" s="92">
        <f t="shared" si="12"/>
        <v>4959785.875</v>
      </c>
      <c r="BK57" s="92">
        <f t="shared" si="12"/>
        <v>2815393.75</v>
      </c>
      <c r="BL57" s="92">
        <f t="shared" si="12"/>
        <v>1734325</v>
      </c>
      <c r="BM57" s="92">
        <f t="shared" si="12"/>
        <v>130312.5</v>
      </c>
    </row>
    <row r="58" spans="1:65" s="88" customFormat="1">
      <c r="B58" s="83"/>
      <c r="C58" s="83"/>
      <c r="D58" s="83"/>
      <c r="E58" s="83"/>
      <c r="F58" s="83"/>
      <c r="G58" s="84"/>
      <c r="H58" s="84"/>
      <c r="I58" s="85"/>
      <c r="J58" s="83"/>
      <c r="K58" s="83"/>
      <c r="L58" s="83"/>
      <c r="M58" s="83"/>
      <c r="N58" s="83"/>
      <c r="O58" s="83"/>
      <c r="P58" s="83"/>
      <c r="Q58" s="87"/>
      <c r="R58" s="83"/>
      <c r="S58" s="83"/>
      <c r="T58" s="84"/>
      <c r="U58" s="83"/>
      <c r="V58" s="83"/>
      <c r="W58" s="83"/>
      <c r="X58" s="83"/>
      <c r="Y58" s="83"/>
      <c r="Z58" s="83"/>
      <c r="AA58" s="83"/>
      <c r="AB58" s="117"/>
      <c r="AC58" s="117"/>
      <c r="AD58" s="117"/>
      <c r="AE58" s="101"/>
      <c r="AF58" s="111"/>
      <c r="AG58" s="111"/>
      <c r="AH58" s="111"/>
      <c r="AI58" s="111"/>
      <c r="AJ58" s="111"/>
      <c r="AK58" s="111"/>
      <c r="AL58" s="83"/>
      <c r="AM58" s="83"/>
      <c r="AN58" s="83"/>
      <c r="AO58" s="86"/>
      <c r="AP58" s="86"/>
      <c r="AQ58" s="86"/>
      <c r="AR58" s="86"/>
      <c r="AS58" s="86"/>
      <c r="AT58" s="86"/>
      <c r="AU58" s="86"/>
      <c r="AV58" s="86"/>
      <c r="AW58" s="86"/>
      <c r="AX58" s="86"/>
      <c r="AY58" s="86"/>
      <c r="AZ58" s="86"/>
      <c r="BA58" s="86"/>
      <c r="BB58" s="86"/>
      <c r="BC58" s="86"/>
      <c r="BD58" s="86"/>
      <c r="BE58" s="86"/>
      <c r="BF58" s="87"/>
      <c r="BG58" s="86"/>
      <c r="BH58" s="86"/>
      <c r="BI58" s="86"/>
      <c r="BJ58" s="86"/>
      <c r="BK58" s="86"/>
      <c r="BL58" s="86"/>
      <c r="BM58" s="86"/>
    </row>
    <row r="59" spans="1:65" s="88" customFormat="1">
      <c r="B59" s="83"/>
      <c r="C59" s="83"/>
      <c r="D59" s="83"/>
      <c r="E59" s="83"/>
      <c r="F59" s="83"/>
      <c r="G59" s="84"/>
      <c r="H59" s="84"/>
      <c r="I59" s="85"/>
      <c r="J59" s="83"/>
      <c r="K59" s="83"/>
      <c r="L59" s="83"/>
      <c r="M59" s="83"/>
      <c r="N59" s="83"/>
      <c r="O59" s="83"/>
      <c r="P59" s="83"/>
      <c r="Q59" s="87"/>
      <c r="R59" s="83"/>
      <c r="S59" s="83"/>
      <c r="T59" s="84"/>
      <c r="U59" s="83"/>
      <c r="V59" s="83"/>
      <c r="W59" s="83"/>
      <c r="X59" s="83"/>
      <c r="Y59" s="83"/>
      <c r="Z59" s="83"/>
      <c r="AA59" s="83"/>
      <c r="AB59" s="117"/>
      <c r="AC59" s="117"/>
      <c r="AD59" s="117"/>
      <c r="AE59" s="101"/>
      <c r="AF59" s="111"/>
      <c r="AG59" s="111"/>
      <c r="AH59" s="111"/>
      <c r="AI59" s="111"/>
      <c r="AJ59" s="111"/>
      <c r="AK59" s="111"/>
      <c r="AL59" s="83"/>
      <c r="AM59" s="83"/>
      <c r="AN59" s="83"/>
      <c r="AO59" s="86"/>
      <c r="AP59" s="86"/>
      <c r="AQ59" s="86"/>
      <c r="AR59" s="86"/>
      <c r="AS59" s="86"/>
      <c r="AT59" s="86"/>
      <c r="AU59" s="86"/>
      <c r="AV59" s="86"/>
      <c r="AW59" s="86"/>
      <c r="AX59" s="86"/>
      <c r="AY59" s="86"/>
      <c r="AZ59" s="86"/>
      <c r="BA59" s="86"/>
      <c r="BB59" s="86"/>
      <c r="BC59" s="86"/>
      <c r="BD59" s="86"/>
      <c r="BE59" s="86"/>
      <c r="BF59" s="87"/>
      <c r="BG59" s="86"/>
      <c r="BH59" s="86"/>
      <c r="BI59" s="86"/>
      <c r="BJ59" s="86"/>
      <c r="BK59" s="86"/>
      <c r="BL59" s="86"/>
      <c r="BM59" s="86"/>
    </row>
    <row r="60" spans="1:65" s="88" customFormat="1" ht="16">
      <c r="A60" s="89" t="s">
        <v>129</v>
      </c>
      <c r="B60" s="83"/>
      <c r="C60" s="83"/>
      <c r="D60" s="83"/>
      <c r="E60" s="83"/>
      <c r="F60" s="83"/>
      <c r="G60" s="84"/>
      <c r="H60" s="84"/>
      <c r="I60" s="85"/>
      <c r="J60" s="83"/>
      <c r="K60" s="83"/>
      <c r="L60" s="83"/>
      <c r="M60" s="83"/>
      <c r="N60" s="83"/>
      <c r="O60" s="83"/>
      <c r="P60" s="83"/>
      <c r="Q60" s="87"/>
      <c r="R60" s="83"/>
      <c r="S60" s="83"/>
      <c r="T60" s="84"/>
      <c r="U60" s="83"/>
      <c r="V60" s="83"/>
      <c r="W60" s="83"/>
      <c r="X60" s="83"/>
      <c r="Y60" s="83"/>
      <c r="Z60" s="83"/>
      <c r="AA60" s="83"/>
      <c r="AB60" s="117"/>
      <c r="AC60" s="117"/>
      <c r="AD60" s="117"/>
      <c r="AE60" s="101"/>
      <c r="AF60" s="111"/>
      <c r="AG60" s="111"/>
      <c r="AH60" s="111"/>
      <c r="AI60" s="111"/>
      <c r="AJ60" s="111"/>
      <c r="AK60" s="111"/>
      <c r="AL60" s="83"/>
      <c r="AM60" s="83"/>
      <c r="AN60" s="83"/>
      <c r="AO60" s="86"/>
      <c r="AP60" s="86"/>
      <c r="AQ60" s="86"/>
      <c r="AR60" s="86"/>
      <c r="AS60" s="86"/>
      <c r="AT60" s="86"/>
      <c r="AU60" s="86"/>
      <c r="AV60" s="86"/>
      <c r="AW60" s="86"/>
      <c r="AX60" s="86"/>
      <c r="AY60" s="86"/>
      <c r="AZ60" s="86"/>
      <c r="BA60" s="86"/>
      <c r="BB60" s="86"/>
      <c r="BC60" s="86"/>
      <c r="BD60" s="86"/>
      <c r="BE60" s="86"/>
      <c r="BF60" s="87"/>
      <c r="BG60" s="86"/>
      <c r="BH60" s="86"/>
      <c r="BI60" s="86"/>
      <c r="BJ60" s="86"/>
      <c r="BK60" s="86"/>
      <c r="BL60" s="86"/>
      <c r="BM60" s="86"/>
    </row>
    <row r="61" spans="1:65" s="77" customFormat="1" ht="16">
      <c r="A61" s="166" t="s">
        <v>78</v>
      </c>
      <c r="B61" s="145"/>
      <c r="C61" s="145" t="s">
        <v>8</v>
      </c>
      <c r="D61" s="145" t="s">
        <v>111</v>
      </c>
      <c r="E61" s="145" t="s">
        <v>871</v>
      </c>
      <c r="F61" s="145" t="s">
        <v>54</v>
      </c>
      <c r="G61" s="146">
        <v>1</v>
      </c>
      <c r="H61" s="146">
        <v>0</v>
      </c>
      <c r="I61" s="147" t="s">
        <v>192</v>
      </c>
      <c r="J61" s="148"/>
      <c r="K61" s="148"/>
      <c r="L61" s="148"/>
      <c r="M61" s="145">
        <v>2013</v>
      </c>
      <c r="N61" s="145"/>
      <c r="O61" s="145">
        <v>2014</v>
      </c>
      <c r="P61" s="145">
        <v>2014</v>
      </c>
      <c r="Q61" s="148">
        <v>0</v>
      </c>
      <c r="R61" s="145"/>
      <c r="S61" s="145">
        <v>2014</v>
      </c>
      <c r="T61" s="146">
        <v>80</v>
      </c>
      <c r="U61" s="145" t="s">
        <v>41</v>
      </c>
      <c r="V61" s="145" t="s">
        <v>155</v>
      </c>
      <c r="W61" s="145"/>
      <c r="X61" s="145"/>
      <c r="Y61" s="145"/>
      <c r="Z61" s="145"/>
      <c r="AA61" s="145"/>
      <c r="AB61" s="150">
        <f>T61*250000</f>
        <v>20000000</v>
      </c>
      <c r="AC61" s="150">
        <f>IF(I61="LIHTC - 9%",AB61*0.75,0)+IF(I61="LIHTC - 4%",AB61*30%,0)</f>
        <v>6000000</v>
      </c>
      <c r="AD61" s="150"/>
      <c r="AE61" s="151">
        <v>0.72</v>
      </c>
      <c r="AF61" s="150">
        <f t="shared" ref="AF61:AF77" si="13">AC61*AE61</f>
        <v>4320000</v>
      </c>
      <c r="AG61" s="150"/>
      <c r="AH61" s="150">
        <f t="shared" ref="AH61:AH70" si="14">AB61*9.7%</f>
        <v>1939999.9999999998</v>
      </c>
      <c r="AI61" s="152">
        <v>940000</v>
      </c>
      <c r="AJ61" s="150">
        <f t="shared" ref="AJ61:AJ75" si="15">AH61-AI61</f>
        <v>999999.99999999977</v>
      </c>
      <c r="AK61" s="150"/>
      <c r="AL61" s="148">
        <v>1</v>
      </c>
      <c r="AM61" s="148"/>
      <c r="AN61" s="145" t="s">
        <v>79</v>
      </c>
      <c r="AO61" s="153"/>
      <c r="AP61" s="153"/>
      <c r="AQ61" s="153"/>
      <c r="AR61" s="153"/>
      <c r="AS61" s="153"/>
      <c r="AT61" s="153"/>
      <c r="AU61" s="153"/>
      <c r="AV61" s="153"/>
      <c r="AW61" s="153"/>
      <c r="AX61" s="153"/>
      <c r="AY61" s="153"/>
      <c r="AZ61" s="153"/>
      <c r="BA61" s="153"/>
      <c r="BB61" s="153"/>
      <c r="BC61" s="153"/>
      <c r="BD61" s="153"/>
      <c r="BE61" s="153"/>
      <c r="BF61" s="148"/>
      <c r="BG61" s="153">
        <f t="shared" ref="BG61:BG73" si="16">BE61*(1-BF61)</f>
        <v>0</v>
      </c>
      <c r="BH61" s="153"/>
      <c r="BI61" s="153"/>
      <c r="BJ61" s="153"/>
      <c r="BK61" s="153"/>
      <c r="BL61" s="153"/>
      <c r="BM61" s="153"/>
    </row>
    <row r="62" spans="1:65" s="77" customFormat="1" ht="16">
      <c r="A62" s="166" t="s">
        <v>56</v>
      </c>
      <c r="B62" s="145"/>
      <c r="C62" s="145" t="s">
        <v>8</v>
      </c>
      <c r="D62" s="145" t="str">
        <f>'Pipeline Demographics-Active'!A42</f>
        <v>Acquisition/ Rehab</v>
      </c>
      <c r="E62" s="145" t="s">
        <v>871</v>
      </c>
      <c r="F62" s="145" t="s">
        <v>54</v>
      </c>
      <c r="G62" s="146">
        <v>1</v>
      </c>
      <c r="H62" s="146">
        <v>8000000</v>
      </c>
      <c r="I62" s="147" t="s">
        <v>192</v>
      </c>
      <c r="J62" s="148"/>
      <c r="K62" s="148"/>
      <c r="L62" s="148"/>
      <c r="M62" s="145">
        <v>2012</v>
      </c>
      <c r="N62" s="145"/>
      <c r="O62" s="145">
        <v>2013</v>
      </c>
      <c r="P62" s="145">
        <v>2013</v>
      </c>
      <c r="Q62" s="148">
        <v>0</v>
      </c>
      <c r="R62" s="145"/>
      <c r="S62" s="145">
        <v>2015</v>
      </c>
      <c r="T62" s="146">
        <v>195</v>
      </c>
      <c r="U62" s="145" t="s">
        <v>41</v>
      </c>
      <c r="V62" s="145" t="s">
        <v>156</v>
      </c>
      <c r="W62" s="145"/>
      <c r="X62" s="145"/>
      <c r="Y62" s="145"/>
      <c r="Z62" s="145"/>
      <c r="AA62" s="145"/>
      <c r="AB62" s="150">
        <f>T62*275000</f>
        <v>53625000</v>
      </c>
      <c r="AC62" s="150">
        <f t="shared" ref="AC62:AC75" si="17">IF(I62="LIHTC - 9%",AB62*0.75,0)+IF(I62="LIHTC - 4%",AB62*30%,0)</f>
        <v>16087500</v>
      </c>
      <c r="AD62" s="150"/>
      <c r="AE62" s="151">
        <v>0.72</v>
      </c>
      <c r="AF62" s="150">
        <f t="shared" si="13"/>
        <v>11583000</v>
      </c>
      <c r="AG62" s="150"/>
      <c r="AH62" s="150">
        <f t="shared" si="14"/>
        <v>5201624.9999999991</v>
      </c>
      <c r="AI62" s="152">
        <v>2000000</v>
      </c>
      <c r="AJ62" s="150">
        <f t="shared" si="15"/>
        <v>3201624.9999999991</v>
      </c>
      <c r="AK62" s="150"/>
      <c r="AL62" s="148">
        <v>0.8</v>
      </c>
      <c r="AM62" s="148"/>
      <c r="AN62" s="145" t="s">
        <v>53</v>
      </c>
      <c r="AO62" s="153"/>
      <c r="AP62" s="153"/>
      <c r="AQ62" s="153"/>
      <c r="AR62" s="153"/>
      <c r="AS62" s="153"/>
      <c r="AT62" s="153"/>
      <c r="AU62" s="153"/>
      <c r="AV62" s="153"/>
      <c r="AW62" s="153"/>
      <c r="AX62" s="153"/>
      <c r="AY62" s="153"/>
      <c r="AZ62" s="153"/>
      <c r="BA62" s="153"/>
      <c r="BB62" s="153"/>
      <c r="BC62" s="153"/>
      <c r="BD62" s="153"/>
      <c r="BE62" s="153"/>
      <c r="BF62" s="148"/>
      <c r="BG62" s="153">
        <f t="shared" si="16"/>
        <v>0</v>
      </c>
      <c r="BH62" s="153">
        <v>709500</v>
      </c>
      <c r="BI62" s="153"/>
      <c r="BJ62" s="153">
        <v>473000</v>
      </c>
      <c r="BK62" s="153">
        <v>1182500</v>
      </c>
      <c r="BL62" s="153"/>
      <c r="BM62" s="153"/>
    </row>
    <row r="63" spans="1:65" s="77" customFormat="1" ht="16">
      <c r="A63" s="166" t="s">
        <v>7</v>
      </c>
      <c r="B63" s="145"/>
      <c r="C63" s="145" t="s">
        <v>8</v>
      </c>
      <c r="D63" s="145" t="s">
        <v>111</v>
      </c>
      <c r="E63" s="145" t="s">
        <v>871</v>
      </c>
      <c r="F63" s="145" t="s">
        <v>54</v>
      </c>
      <c r="G63" s="146">
        <v>1</v>
      </c>
      <c r="H63" s="146" t="s">
        <v>26</v>
      </c>
      <c r="I63" s="147" t="s">
        <v>141</v>
      </c>
      <c r="J63" s="148"/>
      <c r="K63" s="148"/>
      <c r="L63" s="148"/>
      <c r="M63" s="145">
        <v>2013</v>
      </c>
      <c r="N63" s="145"/>
      <c r="O63" s="145">
        <v>2013</v>
      </c>
      <c r="P63" s="145">
        <v>2013</v>
      </c>
      <c r="Q63" s="148">
        <v>0</v>
      </c>
      <c r="R63" s="145"/>
      <c r="S63" s="145">
        <v>2015</v>
      </c>
      <c r="T63" s="146">
        <v>60</v>
      </c>
      <c r="U63" s="145" t="s">
        <v>89</v>
      </c>
      <c r="V63" s="145" t="s">
        <v>155</v>
      </c>
      <c r="W63" s="145"/>
      <c r="X63" s="145"/>
      <c r="Y63" s="145"/>
      <c r="Z63" s="145"/>
      <c r="AA63" s="145"/>
      <c r="AB63" s="150">
        <f>255000*T63</f>
        <v>15300000</v>
      </c>
      <c r="AC63" s="150">
        <f t="shared" si="17"/>
        <v>11475000</v>
      </c>
      <c r="AD63" s="150"/>
      <c r="AE63" s="151">
        <v>0.72</v>
      </c>
      <c r="AF63" s="150">
        <f t="shared" si="13"/>
        <v>8262000</v>
      </c>
      <c r="AG63" s="150"/>
      <c r="AH63" s="150">
        <f t="shared" si="14"/>
        <v>1484099.9999999998</v>
      </c>
      <c r="AI63" s="152">
        <v>484100</v>
      </c>
      <c r="AJ63" s="150">
        <f t="shared" si="15"/>
        <v>999999.99999999977</v>
      </c>
      <c r="AK63" s="150"/>
      <c r="AL63" s="148">
        <v>0.8</v>
      </c>
      <c r="AM63" s="148"/>
      <c r="AN63" s="145" t="s">
        <v>16</v>
      </c>
      <c r="AO63" s="153"/>
      <c r="AP63" s="153"/>
      <c r="AQ63" s="153"/>
      <c r="AR63" s="153"/>
      <c r="AS63" s="153"/>
      <c r="AT63" s="153"/>
      <c r="AU63" s="153"/>
      <c r="AV63" s="153"/>
      <c r="AW63" s="153"/>
      <c r="AX63" s="153"/>
      <c r="AY63" s="153"/>
      <c r="AZ63" s="153"/>
      <c r="BA63" s="153"/>
      <c r="BB63" s="153"/>
      <c r="BC63" s="153"/>
      <c r="BD63" s="153"/>
      <c r="BE63" s="153"/>
      <c r="BF63" s="148"/>
      <c r="BG63" s="153">
        <f t="shared" si="16"/>
        <v>0</v>
      </c>
      <c r="BH63" s="153">
        <v>300000</v>
      </c>
      <c r="BI63" s="153"/>
      <c r="BJ63" s="153">
        <v>200000</v>
      </c>
      <c r="BK63" s="153">
        <v>500000</v>
      </c>
      <c r="BL63" s="153"/>
      <c r="BM63" s="153"/>
    </row>
    <row r="64" spans="1:65" s="77" customFormat="1" ht="16">
      <c r="A64" s="166" t="s">
        <v>7</v>
      </c>
      <c r="B64" s="145"/>
      <c r="C64" s="145" t="s">
        <v>8</v>
      </c>
      <c r="D64" s="145" t="s">
        <v>111</v>
      </c>
      <c r="E64" s="145" t="s">
        <v>871</v>
      </c>
      <c r="F64" s="145" t="s">
        <v>54</v>
      </c>
      <c r="G64" s="146">
        <v>1</v>
      </c>
      <c r="H64" s="146" t="s">
        <v>26</v>
      </c>
      <c r="I64" s="147" t="s">
        <v>192</v>
      </c>
      <c r="J64" s="148"/>
      <c r="K64" s="148"/>
      <c r="L64" s="148"/>
      <c r="M64" s="145">
        <v>2014</v>
      </c>
      <c r="N64" s="145"/>
      <c r="O64" s="145">
        <v>2014</v>
      </c>
      <c r="P64" s="145">
        <v>2014</v>
      </c>
      <c r="Q64" s="148">
        <v>0</v>
      </c>
      <c r="R64" s="145"/>
      <c r="S64" s="145">
        <v>2016</v>
      </c>
      <c r="T64" s="146">
        <v>60</v>
      </c>
      <c r="U64" s="145" t="s">
        <v>89</v>
      </c>
      <c r="V64" s="145" t="s">
        <v>155</v>
      </c>
      <c r="W64" s="145"/>
      <c r="X64" s="145"/>
      <c r="Y64" s="145"/>
      <c r="Z64" s="145"/>
      <c r="AA64" s="145"/>
      <c r="AB64" s="150">
        <f>255000*T64</f>
        <v>15300000</v>
      </c>
      <c r="AC64" s="150">
        <f t="shared" si="17"/>
        <v>4590000</v>
      </c>
      <c r="AD64" s="150"/>
      <c r="AE64" s="151">
        <v>0.72</v>
      </c>
      <c r="AF64" s="150">
        <f t="shared" si="13"/>
        <v>3304800</v>
      </c>
      <c r="AG64" s="150"/>
      <c r="AH64" s="150">
        <f t="shared" si="14"/>
        <v>1484099.9999999998</v>
      </c>
      <c r="AI64" s="152">
        <v>484100</v>
      </c>
      <c r="AJ64" s="150">
        <f t="shared" si="15"/>
        <v>999999.99999999977</v>
      </c>
      <c r="AK64" s="150"/>
      <c r="AL64" s="148">
        <v>0.8</v>
      </c>
      <c r="AM64" s="148"/>
      <c r="AN64" s="145" t="s">
        <v>16</v>
      </c>
      <c r="AO64" s="153"/>
      <c r="AP64" s="153"/>
      <c r="AQ64" s="153"/>
      <c r="AR64" s="153"/>
      <c r="AS64" s="153"/>
      <c r="AT64" s="153"/>
      <c r="AU64" s="153"/>
      <c r="AV64" s="153"/>
      <c r="AW64" s="153"/>
      <c r="AX64" s="153"/>
      <c r="AY64" s="153"/>
      <c r="AZ64" s="153"/>
      <c r="BA64" s="153"/>
      <c r="BB64" s="153"/>
      <c r="BC64" s="153"/>
      <c r="BD64" s="153"/>
      <c r="BE64" s="153"/>
      <c r="BF64" s="148"/>
      <c r="BG64" s="153">
        <f t="shared" si="16"/>
        <v>0</v>
      </c>
      <c r="BH64" s="153"/>
      <c r="BI64" s="153">
        <v>300000</v>
      </c>
      <c r="BJ64" s="153"/>
      <c r="BK64" s="153">
        <v>200000</v>
      </c>
      <c r="BL64" s="153">
        <v>500000</v>
      </c>
      <c r="BM64" s="153"/>
    </row>
    <row r="65" spans="1:65" s="77" customFormat="1" ht="16">
      <c r="A65" s="166" t="s">
        <v>7</v>
      </c>
      <c r="B65" s="145"/>
      <c r="C65" s="145" t="s">
        <v>8</v>
      </c>
      <c r="D65" s="145" t="s">
        <v>111</v>
      </c>
      <c r="E65" s="145" t="s">
        <v>871</v>
      </c>
      <c r="F65" s="145" t="s">
        <v>54</v>
      </c>
      <c r="G65" s="146">
        <v>1</v>
      </c>
      <c r="H65" s="146" t="s">
        <v>26</v>
      </c>
      <c r="I65" s="147" t="s">
        <v>190</v>
      </c>
      <c r="J65" s="148"/>
      <c r="K65" s="148"/>
      <c r="L65" s="148"/>
      <c r="M65" s="145">
        <v>2015</v>
      </c>
      <c r="N65" s="145"/>
      <c r="O65" s="145">
        <v>2015</v>
      </c>
      <c r="P65" s="145">
        <v>2015</v>
      </c>
      <c r="Q65" s="148">
        <v>0</v>
      </c>
      <c r="R65" s="145"/>
      <c r="S65" s="145">
        <v>2017</v>
      </c>
      <c r="T65" s="146">
        <v>60</v>
      </c>
      <c r="U65" s="145" t="s">
        <v>89</v>
      </c>
      <c r="V65" s="145" t="s">
        <v>156</v>
      </c>
      <c r="W65" s="145"/>
      <c r="X65" s="145"/>
      <c r="Y65" s="145"/>
      <c r="Z65" s="145"/>
      <c r="AA65" s="145"/>
      <c r="AB65" s="150">
        <f>255000*T65</f>
        <v>15300000</v>
      </c>
      <c r="AC65" s="150">
        <f t="shared" si="17"/>
        <v>0</v>
      </c>
      <c r="AD65" s="150"/>
      <c r="AE65" s="151">
        <v>0.72</v>
      </c>
      <c r="AF65" s="150">
        <f t="shared" si="13"/>
        <v>0</v>
      </c>
      <c r="AG65" s="150"/>
      <c r="AH65" s="150">
        <f t="shared" si="14"/>
        <v>1484099.9999999998</v>
      </c>
      <c r="AI65" s="152">
        <v>484100</v>
      </c>
      <c r="AJ65" s="150">
        <f t="shared" si="15"/>
        <v>999999.99999999977</v>
      </c>
      <c r="AK65" s="150"/>
      <c r="AL65" s="148">
        <v>0.8</v>
      </c>
      <c r="AM65" s="148"/>
      <c r="AN65" s="145" t="s">
        <v>16</v>
      </c>
      <c r="AO65" s="153"/>
      <c r="AP65" s="153"/>
      <c r="AQ65" s="153"/>
      <c r="AR65" s="153"/>
      <c r="AS65" s="153"/>
      <c r="AT65" s="153"/>
      <c r="AU65" s="153"/>
      <c r="AV65" s="153"/>
      <c r="AW65" s="153"/>
      <c r="AX65" s="153"/>
      <c r="AY65" s="153"/>
      <c r="AZ65" s="153"/>
      <c r="BA65" s="153"/>
      <c r="BB65" s="153"/>
      <c r="BC65" s="153"/>
      <c r="BD65" s="153"/>
      <c r="BE65" s="153"/>
      <c r="BF65" s="148"/>
      <c r="BG65" s="153">
        <f t="shared" si="16"/>
        <v>0</v>
      </c>
      <c r="BH65" s="153"/>
      <c r="BI65" s="153"/>
      <c r="BJ65" s="153">
        <v>300000</v>
      </c>
      <c r="BK65" s="153"/>
      <c r="BL65" s="153">
        <v>200000</v>
      </c>
      <c r="BM65" s="153">
        <v>500000</v>
      </c>
    </row>
    <row r="66" spans="1:65" s="77" customFormat="1" ht="16">
      <c r="A66" s="166" t="s">
        <v>7</v>
      </c>
      <c r="B66" s="145"/>
      <c r="C66" s="145" t="s">
        <v>8</v>
      </c>
      <c r="D66" s="145" t="s">
        <v>111</v>
      </c>
      <c r="E66" s="145" t="s">
        <v>871</v>
      </c>
      <c r="F66" s="145" t="s">
        <v>54</v>
      </c>
      <c r="G66" s="146">
        <v>1</v>
      </c>
      <c r="H66" s="146" t="s">
        <v>26</v>
      </c>
      <c r="I66" s="147" t="s">
        <v>141</v>
      </c>
      <c r="J66" s="148"/>
      <c r="K66" s="148"/>
      <c r="L66" s="148"/>
      <c r="M66" s="145">
        <v>2016</v>
      </c>
      <c r="N66" s="145"/>
      <c r="O66" s="145">
        <v>2016</v>
      </c>
      <c r="P66" s="145">
        <v>2016</v>
      </c>
      <c r="Q66" s="148">
        <v>0</v>
      </c>
      <c r="R66" s="145"/>
      <c r="S66" s="145">
        <v>2018</v>
      </c>
      <c r="T66" s="146">
        <v>60</v>
      </c>
      <c r="U66" s="145" t="s">
        <v>89</v>
      </c>
      <c r="V66" s="145" t="s">
        <v>138</v>
      </c>
      <c r="W66" s="145"/>
      <c r="X66" s="145"/>
      <c r="Y66" s="145"/>
      <c r="Z66" s="145"/>
      <c r="AA66" s="145"/>
      <c r="AB66" s="150">
        <f>255000*T66</f>
        <v>15300000</v>
      </c>
      <c r="AC66" s="150">
        <f t="shared" si="17"/>
        <v>11475000</v>
      </c>
      <c r="AD66" s="150"/>
      <c r="AE66" s="151">
        <v>0.72</v>
      </c>
      <c r="AF66" s="150">
        <f t="shared" si="13"/>
        <v>8262000</v>
      </c>
      <c r="AG66" s="150"/>
      <c r="AH66" s="150">
        <f t="shared" si="14"/>
        <v>1484099.9999999998</v>
      </c>
      <c r="AI66" s="152">
        <v>484100</v>
      </c>
      <c r="AJ66" s="150">
        <f t="shared" si="15"/>
        <v>999999.99999999977</v>
      </c>
      <c r="AK66" s="150"/>
      <c r="AL66" s="148">
        <v>0.8</v>
      </c>
      <c r="AM66" s="148"/>
      <c r="AN66" s="145" t="s">
        <v>16</v>
      </c>
      <c r="AO66" s="153"/>
      <c r="AP66" s="153"/>
      <c r="AQ66" s="153"/>
      <c r="AR66" s="153"/>
      <c r="AS66" s="153"/>
      <c r="AT66" s="153"/>
      <c r="AU66" s="153"/>
      <c r="AV66" s="153"/>
      <c r="AW66" s="153"/>
      <c r="AX66" s="153"/>
      <c r="AY66" s="153"/>
      <c r="AZ66" s="153"/>
      <c r="BA66" s="153"/>
      <c r="BB66" s="153"/>
      <c r="BC66" s="153"/>
      <c r="BD66" s="153"/>
      <c r="BE66" s="153"/>
      <c r="BF66" s="148"/>
      <c r="BG66" s="153">
        <f t="shared" si="16"/>
        <v>0</v>
      </c>
      <c r="BH66" s="153"/>
      <c r="BI66" s="153"/>
      <c r="BJ66" s="153"/>
      <c r="BK66" s="153">
        <v>300000</v>
      </c>
      <c r="BL66" s="153"/>
      <c r="BM66" s="153">
        <v>200000</v>
      </c>
    </row>
    <row r="67" spans="1:65" s="77" customFormat="1" ht="32">
      <c r="A67" s="166" t="s">
        <v>7</v>
      </c>
      <c r="B67" s="145"/>
      <c r="C67" s="145" t="s">
        <v>8</v>
      </c>
      <c r="D67" s="145" t="s">
        <v>111</v>
      </c>
      <c r="E67" s="145" t="s">
        <v>871</v>
      </c>
      <c r="F67" s="145" t="s">
        <v>54</v>
      </c>
      <c r="G67" s="146">
        <v>1</v>
      </c>
      <c r="H67" s="146" t="s">
        <v>26</v>
      </c>
      <c r="I67" s="147" t="s">
        <v>206</v>
      </c>
      <c r="J67" s="148"/>
      <c r="K67" s="148"/>
      <c r="L67" s="148"/>
      <c r="M67" s="145">
        <v>2016</v>
      </c>
      <c r="N67" s="145"/>
      <c r="O67" s="145">
        <v>2016</v>
      </c>
      <c r="P67" s="145">
        <v>2016</v>
      </c>
      <c r="Q67" s="148">
        <v>0</v>
      </c>
      <c r="R67" s="145"/>
      <c r="S67" s="145">
        <v>2018</v>
      </c>
      <c r="T67" s="146">
        <v>14</v>
      </c>
      <c r="U67" s="145" t="s">
        <v>89</v>
      </c>
      <c r="V67" s="145" t="s">
        <v>263</v>
      </c>
      <c r="W67" s="145"/>
      <c r="X67" s="145"/>
      <c r="Y67" s="145"/>
      <c r="Z67" s="145"/>
      <c r="AA67" s="145"/>
      <c r="AB67" s="150">
        <f>200000*T67</f>
        <v>2800000</v>
      </c>
      <c r="AC67" s="150">
        <f t="shared" si="17"/>
        <v>0</v>
      </c>
      <c r="AD67" s="150"/>
      <c r="AE67" s="151">
        <v>0.72</v>
      </c>
      <c r="AF67" s="150">
        <f t="shared" si="13"/>
        <v>0</v>
      </c>
      <c r="AG67" s="150"/>
      <c r="AH67" s="150">
        <f t="shared" si="14"/>
        <v>271599.99999999994</v>
      </c>
      <c r="AI67" s="150">
        <f>AH67*0.25</f>
        <v>67899.999999999985</v>
      </c>
      <c r="AJ67" s="150">
        <f t="shared" si="15"/>
        <v>203699.99999999994</v>
      </c>
      <c r="AK67" s="150"/>
      <c r="AL67" s="148">
        <v>0.8</v>
      </c>
      <c r="AM67" s="148"/>
      <c r="AN67" s="145" t="s">
        <v>16</v>
      </c>
      <c r="AO67" s="153"/>
      <c r="AP67" s="153"/>
      <c r="AQ67" s="153"/>
      <c r="AR67" s="153"/>
      <c r="AS67" s="153"/>
      <c r="AT67" s="153"/>
      <c r="AU67" s="153"/>
      <c r="AV67" s="153"/>
      <c r="AW67" s="153"/>
      <c r="AX67" s="153"/>
      <c r="AY67" s="153"/>
      <c r="AZ67" s="153"/>
      <c r="BA67" s="153"/>
      <c r="BB67" s="153"/>
      <c r="BC67" s="153"/>
      <c r="BD67" s="153"/>
      <c r="BE67" s="153"/>
      <c r="BF67" s="148"/>
      <c r="BG67" s="153">
        <f t="shared" si="16"/>
        <v>0</v>
      </c>
      <c r="BH67" s="153"/>
      <c r="BI67" s="153"/>
      <c r="BJ67" s="153"/>
      <c r="BK67" s="153"/>
      <c r="BL67" s="153">
        <v>300000</v>
      </c>
      <c r="BM67" s="153"/>
    </row>
    <row r="68" spans="1:65" s="77" customFormat="1" ht="32">
      <c r="A68" s="144" t="s">
        <v>7</v>
      </c>
      <c r="B68" s="145"/>
      <c r="C68" s="145" t="s">
        <v>8</v>
      </c>
      <c r="D68" s="145" t="s">
        <v>111</v>
      </c>
      <c r="E68" s="145" t="s">
        <v>871</v>
      </c>
      <c r="F68" s="145" t="s">
        <v>54</v>
      </c>
      <c r="G68" s="146">
        <v>1</v>
      </c>
      <c r="H68" s="146" t="s">
        <v>26</v>
      </c>
      <c r="I68" s="147" t="s">
        <v>206</v>
      </c>
      <c r="J68" s="148"/>
      <c r="K68" s="148"/>
      <c r="L68" s="148"/>
      <c r="M68" s="145">
        <v>2017</v>
      </c>
      <c r="N68" s="145"/>
      <c r="O68" s="145">
        <v>2017</v>
      </c>
      <c r="P68" s="145">
        <v>2017</v>
      </c>
      <c r="Q68" s="148">
        <v>0</v>
      </c>
      <c r="R68" s="145"/>
      <c r="S68" s="145">
        <v>2019</v>
      </c>
      <c r="T68" s="146">
        <v>38</v>
      </c>
      <c r="U68" s="145" t="s">
        <v>89</v>
      </c>
      <c r="V68" s="145" t="s">
        <v>263</v>
      </c>
      <c r="W68" s="145"/>
      <c r="X68" s="145"/>
      <c r="Y68" s="145"/>
      <c r="Z68" s="145"/>
      <c r="AA68" s="145"/>
      <c r="AB68" s="150">
        <f>200000*T68</f>
        <v>7600000</v>
      </c>
      <c r="AC68" s="150">
        <f t="shared" si="17"/>
        <v>0</v>
      </c>
      <c r="AD68" s="150"/>
      <c r="AE68" s="151">
        <v>0.72</v>
      </c>
      <c r="AF68" s="150">
        <f t="shared" si="13"/>
        <v>0</v>
      </c>
      <c r="AG68" s="150"/>
      <c r="AH68" s="150">
        <f t="shared" si="14"/>
        <v>737199.99999999988</v>
      </c>
      <c r="AI68" s="150">
        <f>AH68*0.25</f>
        <v>184299.99999999997</v>
      </c>
      <c r="AJ68" s="150">
        <f t="shared" si="15"/>
        <v>552899.99999999988</v>
      </c>
      <c r="AK68" s="150"/>
      <c r="AL68" s="148">
        <v>0.8</v>
      </c>
      <c r="AM68" s="148"/>
      <c r="AN68" s="145" t="s">
        <v>16</v>
      </c>
      <c r="AO68" s="153"/>
      <c r="AP68" s="153"/>
      <c r="AQ68" s="153"/>
      <c r="AR68" s="153"/>
      <c r="AS68" s="153"/>
      <c r="AT68" s="153"/>
      <c r="AU68" s="153"/>
      <c r="AV68" s="153"/>
      <c r="AW68" s="153"/>
      <c r="AX68" s="153"/>
      <c r="AY68" s="153"/>
      <c r="AZ68" s="153"/>
      <c r="BA68" s="153"/>
      <c r="BB68" s="153"/>
      <c r="BC68" s="153"/>
      <c r="BD68" s="153"/>
      <c r="BE68" s="153"/>
      <c r="BF68" s="148"/>
      <c r="BG68" s="153">
        <f t="shared" si="16"/>
        <v>0</v>
      </c>
      <c r="BH68" s="153"/>
      <c r="BI68" s="153"/>
      <c r="BJ68" s="153"/>
      <c r="BK68" s="153"/>
      <c r="BL68" s="153"/>
      <c r="BM68" s="153">
        <v>300000</v>
      </c>
    </row>
    <row r="69" spans="1:65" s="77" customFormat="1" ht="32">
      <c r="A69" s="144" t="s">
        <v>7</v>
      </c>
      <c r="B69" s="145"/>
      <c r="C69" s="145" t="s">
        <v>8</v>
      </c>
      <c r="D69" s="145" t="s">
        <v>111</v>
      </c>
      <c r="E69" s="145" t="s">
        <v>871</v>
      </c>
      <c r="F69" s="145" t="s">
        <v>54</v>
      </c>
      <c r="G69" s="146">
        <v>1</v>
      </c>
      <c r="H69" s="146" t="s">
        <v>26</v>
      </c>
      <c r="I69" s="147" t="s">
        <v>206</v>
      </c>
      <c r="J69" s="148"/>
      <c r="K69" s="148"/>
      <c r="L69" s="148"/>
      <c r="M69" s="145">
        <v>2017</v>
      </c>
      <c r="N69" s="145"/>
      <c r="O69" s="145">
        <v>2017</v>
      </c>
      <c r="P69" s="145">
        <v>2017</v>
      </c>
      <c r="Q69" s="148">
        <v>0</v>
      </c>
      <c r="R69" s="145"/>
      <c r="S69" s="145">
        <v>2020</v>
      </c>
      <c r="T69" s="146">
        <v>28</v>
      </c>
      <c r="U69" s="145" t="s">
        <v>89</v>
      </c>
      <c r="V69" s="145" t="s">
        <v>263</v>
      </c>
      <c r="W69" s="145"/>
      <c r="X69" s="145"/>
      <c r="Y69" s="145"/>
      <c r="Z69" s="145"/>
      <c r="AA69" s="145"/>
      <c r="AB69" s="150">
        <f>200000*T69</f>
        <v>5600000</v>
      </c>
      <c r="AC69" s="150">
        <f t="shared" si="17"/>
        <v>0</v>
      </c>
      <c r="AD69" s="150"/>
      <c r="AE69" s="151">
        <v>0.72</v>
      </c>
      <c r="AF69" s="150">
        <f t="shared" si="13"/>
        <v>0</v>
      </c>
      <c r="AG69" s="150"/>
      <c r="AH69" s="150">
        <f t="shared" si="14"/>
        <v>543199.99999999988</v>
      </c>
      <c r="AI69" s="150">
        <f>AH69*0.25</f>
        <v>135799.99999999997</v>
      </c>
      <c r="AJ69" s="150">
        <f t="shared" si="15"/>
        <v>407399.99999999988</v>
      </c>
      <c r="AK69" s="150"/>
      <c r="AL69" s="148">
        <v>0.8</v>
      </c>
      <c r="AM69" s="148"/>
      <c r="AN69" s="145" t="s">
        <v>16</v>
      </c>
      <c r="AO69" s="153"/>
      <c r="AP69" s="153"/>
      <c r="AQ69" s="153"/>
      <c r="AR69" s="153"/>
      <c r="AS69" s="153"/>
      <c r="AT69" s="153"/>
      <c r="AU69" s="153"/>
      <c r="AV69" s="153"/>
      <c r="AW69" s="153"/>
      <c r="AX69" s="153"/>
      <c r="AY69" s="153"/>
      <c r="AZ69" s="153"/>
      <c r="BA69" s="153"/>
      <c r="BB69" s="153"/>
      <c r="BC69" s="153"/>
      <c r="BD69" s="153"/>
      <c r="BE69" s="153"/>
      <c r="BF69" s="148"/>
      <c r="BG69" s="153">
        <f t="shared" si="16"/>
        <v>0</v>
      </c>
      <c r="BH69" s="153"/>
      <c r="BI69" s="153"/>
      <c r="BJ69" s="153"/>
      <c r="BK69" s="153"/>
      <c r="BL69" s="153"/>
      <c r="BM69" s="153"/>
    </row>
    <row r="70" spans="1:65" s="77" customFormat="1" ht="32">
      <c r="A70" s="144" t="s">
        <v>7</v>
      </c>
      <c r="B70" s="145"/>
      <c r="C70" s="145" t="s">
        <v>8</v>
      </c>
      <c r="D70" s="145" t="s">
        <v>111</v>
      </c>
      <c r="E70" s="145" t="s">
        <v>871</v>
      </c>
      <c r="F70" s="145" t="s">
        <v>54</v>
      </c>
      <c r="G70" s="146">
        <v>1</v>
      </c>
      <c r="H70" s="146" t="s">
        <v>26</v>
      </c>
      <c r="I70" s="147" t="s">
        <v>206</v>
      </c>
      <c r="J70" s="148"/>
      <c r="K70" s="148"/>
      <c r="L70" s="148"/>
      <c r="M70" s="145">
        <v>2018</v>
      </c>
      <c r="N70" s="145"/>
      <c r="O70" s="145">
        <v>2018</v>
      </c>
      <c r="P70" s="145">
        <v>2018</v>
      </c>
      <c r="Q70" s="148">
        <v>0</v>
      </c>
      <c r="R70" s="145"/>
      <c r="S70" s="145">
        <v>2021</v>
      </c>
      <c r="T70" s="146">
        <v>28</v>
      </c>
      <c r="U70" s="145" t="s">
        <v>89</v>
      </c>
      <c r="V70" s="145" t="s">
        <v>263</v>
      </c>
      <c r="W70" s="145"/>
      <c r="X70" s="145"/>
      <c r="Y70" s="145"/>
      <c r="Z70" s="145"/>
      <c r="AA70" s="145"/>
      <c r="AB70" s="150">
        <f>200000*T70</f>
        <v>5600000</v>
      </c>
      <c r="AC70" s="150">
        <f t="shared" si="17"/>
        <v>0</v>
      </c>
      <c r="AD70" s="150"/>
      <c r="AE70" s="151">
        <v>0.72</v>
      </c>
      <c r="AF70" s="150">
        <f t="shared" si="13"/>
        <v>0</v>
      </c>
      <c r="AG70" s="150"/>
      <c r="AH70" s="150">
        <f t="shared" si="14"/>
        <v>543199.99999999988</v>
      </c>
      <c r="AI70" s="150">
        <f>AH70*0.25</f>
        <v>135799.99999999997</v>
      </c>
      <c r="AJ70" s="150">
        <f t="shared" si="15"/>
        <v>407399.99999999988</v>
      </c>
      <c r="AK70" s="150"/>
      <c r="AL70" s="148">
        <v>0.8</v>
      </c>
      <c r="AM70" s="148"/>
      <c r="AN70" s="145" t="s">
        <v>16</v>
      </c>
      <c r="AO70" s="153"/>
      <c r="AP70" s="153"/>
      <c r="AQ70" s="153"/>
      <c r="AR70" s="153"/>
      <c r="AS70" s="153"/>
      <c r="AT70" s="153"/>
      <c r="AU70" s="153"/>
      <c r="AV70" s="153"/>
      <c r="AW70" s="153"/>
      <c r="AX70" s="153"/>
      <c r="AY70" s="153"/>
      <c r="AZ70" s="153"/>
      <c r="BA70" s="153"/>
      <c r="BB70" s="153"/>
      <c r="BC70" s="153"/>
      <c r="BD70" s="153"/>
      <c r="BE70" s="153"/>
      <c r="BF70" s="148"/>
      <c r="BG70" s="153">
        <f t="shared" si="16"/>
        <v>0</v>
      </c>
      <c r="BH70" s="153"/>
      <c r="BI70" s="153"/>
      <c r="BJ70" s="153"/>
      <c r="BK70" s="153"/>
      <c r="BL70" s="153"/>
      <c r="BM70" s="153"/>
    </row>
    <row r="71" spans="1:65" s="77" customFormat="1" ht="16">
      <c r="A71" s="144" t="s">
        <v>57</v>
      </c>
      <c r="B71" s="145"/>
      <c r="C71" s="145" t="s">
        <v>34</v>
      </c>
      <c r="D71" s="145" t="s">
        <v>111</v>
      </c>
      <c r="E71" s="145" t="s">
        <v>871</v>
      </c>
      <c r="F71" s="145" t="s">
        <v>54</v>
      </c>
      <c r="G71" s="146">
        <v>1</v>
      </c>
      <c r="H71" s="146" t="s">
        <v>26</v>
      </c>
      <c r="I71" s="147" t="s">
        <v>141</v>
      </c>
      <c r="J71" s="148"/>
      <c r="K71" s="148"/>
      <c r="L71" s="148"/>
      <c r="M71" s="145">
        <v>2012</v>
      </c>
      <c r="N71" s="145"/>
      <c r="O71" s="145">
        <v>2013</v>
      </c>
      <c r="P71" s="145">
        <v>2013</v>
      </c>
      <c r="Q71" s="148">
        <v>0</v>
      </c>
      <c r="R71" s="145"/>
      <c r="S71" s="145">
        <v>2015</v>
      </c>
      <c r="T71" s="146">
        <v>60</v>
      </c>
      <c r="U71" s="145" t="s">
        <v>29</v>
      </c>
      <c r="V71" s="145" t="s">
        <v>155</v>
      </c>
      <c r="W71" s="145"/>
      <c r="X71" s="145"/>
      <c r="Y71" s="145"/>
      <c r="Z71" s="145"/>
      <c r="AA71" s="145"/>
      <c r="AB71" s="152">
        <v>24537560</v>
      </c>
      <c r="AC71" s="150">
        <f t="shared" si="17"/>
        <v>18403170</v>
      </c>
      <c r="AD71" s="150"/>
      <c r="AE71" s="151">
        <v>0.72</v>
      </c>
      <c r="AF71" s="150">
        <f t="shared" si="13"/>
        <v>13250282.4</v>
      </c>
      <c r="AG71" s="150"/>
      <c r="AH71" s="152">
        <v>2426130.9729464781</v>
      </c>
      <c r="AI71" s="150">
        <f t="shared" ref="AI71:AI75" si="18">AH71*0.25</f>
        <v>606532.74323661951</v>
      </c>
      <c r="AJ71" s="150">
        <f t="shared" si="15"/>
        <v>1819598.2297098585</v>
      </c>
      <c r="AK71" s="150"/>
      <c r="AL71" s="148">
        <v>0.9</v>
      </c>
      <c r="AM71" s="148"/>
      <c r="AN71" s="145" t="s">
        <v>16</v>
      </c>
      <c r="AO71" s="153"/>
      <c r="AP71" s="153"/>
      <c r="AQ71" s="153"/>
      <c r="AR71" s="153"/>
      <c r="AS71" s="153"/>
      <c r="AT71" s="153"/>
      <c r="AU71" s="153"/>
      <c r="AV71" s="153"/>
      <c r="AW71" s="153"/>
      <c r="AX71" s="153"/>
      <c r="AY71" s="153"/>
      <c r="AZ71" s="153"/>
      <c r="BA71" s="153"/>
      <c r="BB71" s="153"/>
      <c r="BC71" s="153"/>
      <c r="BD71" s="153"/>
      <c r="BE71" s="153"/>
      <c r="BF71" s="148"/>
      <c r="BG71" s="153">
        <f t="shared" si="16"/>
        <v>0</v>
      </c>
      <c r="BH71" s="153">
        <v>545879</v>
      </c>
      <c r="BI71" s="153"/>
      <c r="BJ71" s="153">
        <v>727839</v>
      </c>
      <c r="BK71" s="153">
        <v>545879</v>
      </c>
      <c r="BL71" s="153"/>
      <c r="BM71" s="153"/>
    </row>
    <row r="72" spans="1:65" s="77" customFormat="1" ht="32">
      <c r="A72" s="144" t="s">
        <v>10</v>
      </c>
      <c r="B72" s="145"/>
      <c r="C72" s="145" t="s">
        <v>34</v>
      </c>
      <c r="D72" s="145" t="s">
        <v>111</v>
      </c>
      <c r="E72" s="145" t="s">
        <v>871</v>
      </c>
      <c r="F72" s="145" t="s">
        <v>54</v>
      </c>
      <c r="G72" s="146">
        <v>1</v>
      </c>
      <c r="H72" s="146" t="s">
        <v>26</v>
      </c>
      <c r="I72" s="147" t="s">
        <v>206</v>
      </c>
      <c r="J72" s="148"/>
      <c r="K72" s="148"/>
      <c r="L72" s="148"/>
      <c r="M72" s="145">
        <v>2014</v>
      </c>
      <c r="N72" s="145"/>
      <c r="O72" s="145">
        <v>2015</v>
      </c>
      <c r="P72" s="145">
        <v>2015</v>
      </c>
      <c r="Q72" s="148">
        <v>0</v>
      </c>
      <c r="R72" s="145"/>
      <c r="S72" s="145">
        <v>2016</v>
      </c>
      <c r="T72" s="146">
        <v>60</v>
      </c>
      <c r="U72" s="145" t="s">
        <v>133</v>
      </c>
      <c r="V72" s="145" t="s">
        <v>155</v>
      </c>
      <c r="W72" s="145"/>
      <c r="X72" s="145"/>
      <c r="Y72" s="145"/>
      <c r="Z72" s="145"/>
      <c r="AA72" s="145"/>
      <c r="AB72" s="150">
        <f>225000*T72</f>
        <v>13500000</v>
      </c>
      <c r="AC72" s="150">
        <f t="shared" si="17"/>
        <v>0</v>
      </c>
      <c r="AD72" s="150"/>
      <c r="AE72" s="151">
        <v>0.72</v>
      </c>
      <c r="AF72" s="150">
        <f t="shared" si="13"/>
        <v>0</v>
      </c>
      <c r="AG72" s="150"/>
      <c r="AH72" s="150">
        <f>AB72*9.7%</f>
        <v>1309499.9999999998</v>
      </c>
      <c r="AI72" s="150">
        <f t="shared" si="18"/>
        <v>327374.99999999994</v>
      </c>
      <c r="AJ72" s="150">
        <f t="shared" si="15"/>
        <v>982124.99999999977</v>
      </c>
      <c r="AK72" s="150"/>
      <c r="AL72" s="148">
        <v>0.9</v>
      </c>
      <c r="AM72" s="148"/>
      <c r="AN72" s="145" t="s">
        <v>16</v>
      </c>
      <c r="AO72" s="153"/>
      <c r="AP72" s="153"/>
      <c r="AQ72" s="153"/>
      <c r="AR72" s="153"/>
      <c r="AS72" s="153"/>
      <c r="AT72" s="153"/>
      <c r="AU72" s="153"/>
      <c r="AV72" s="153"/>
      <c r="AW72" s="153"/>
      <c r="AX72" s="153"/>
      <c r="AY72" s="153"/>
      <c r="AZ72" s="153"/>
      <c r="BA72" s="153"/>
      <c r="BB72" s="153"/>
      <c r="BC72" s="153"/>
      <c r="BD72" s="153"/>
      <c r="BE72" s="153"/>
      <c r="BF72" s="148"/>
      <c r="BG72" s="153">
        <f t="shared" si="16"/>
        <v>0</v>
      </c>
      <c r="BH72" s="153"/>
      <c r="BI72" s="153"/>
      <c r="BJ72" s="153">
        <v>294638</v>
      </c>
      <c r="BK72" s="153"/>
      <c r="BL72" s="153">
        <v>392850</v>
      </c>
      <c r="BM72" s="153">
        <v>294638</v>
      </c>
    </row>
    <row r="73" spans="1:65" s="77" customFormat="1" ht="16">
      <c r="A73" s="144" t="s">
        <v>10</v>
      </c>
      <c r="B73" s="145"/>
      <c r="C73" s="145" t="s">
        <v>34</v>
      </c>
      <c r="D73" s="145" t="s">
        <v>111</v>
      </c>
      <c r="E73" s="145" t="s">
        <v>871</v>
      </c>
      <c r="F73" s="145" t="s">
        <v>54</v>
      </c>
      <c r="G73" s="146">
        <v>1</v>
      </c>
      <c r="H73" s="146" t="s">
        <v>26</v>
      </c>
      <c r="I73" s="147" t="s">
        <v>192</v>
      </c>
      <c r="J73" s="148"/>
      <c r="K73" s="148"/>
      <c r="L73" s="148"/>
      <c r="M73" s="145">
        <v>2016</v>
      </c>
      <c r="N73" s="145"/>
      <c r="O73" s="145">
        <v>2016</v>
      </c>
      <c r="P73" s="145">
        <v>2016</v>
      </c>
      <c r="Q73" s="148">
        <v>0</v>
      </c>
      <c r="R73" s="145"/>
      <c r="S73" s="145">
        <v>2017</v>
      </c>
      <c r="T73" s="146">
        <v>75</v>
      </c>
      <c r="U73" s="145" t="s">
        <v>132</v>
      </c>
      <c r="V73" s="145" t="s">
        <v>155</v>
      </c>
      <c r="W73" s="145"/>
      <c r="X73" s="145"/>
      <c r="Y73" s="145"/>
      <c r="Z73" s="145"/>
      <c r="AA73" s="145"/>
      <c r="AB73" s="150">
        <f>225000*T73</f>
        <v>16875000</v>
      </c>
      <c r="AC73" s="150">
        <f t="shared" si="17"/>
        <v>5062500</v>
      </c>
      <c r="AD73" s="150"/>
      <c r="AE73" s="151">
        <v>0.72</v>
      </c>
      <c r="AF73" s="150">
        <f t="shared" si="13"/>
        <v>3645000</v>
      </c>
      <c r="AG73" s="150"/>
      <c r="AH73" s="150">
        <f>AB73*9.7%</f>
        <v>1636874.9999999998</v>
      </c>
      <c r="AI73" s="150">
        <f t="shared" si="18"/>
        <v>409218.74999999994</v>
      </c>
      <c r="AJ73" s="150">
        <f t="shared" si="15"/>
        <v>1227656.2499999998</v>
      </c>
      <c r="AK73" s="150"/>
      <c r="AL73" s="148">
        <v>0.9</v>
      </c>
      <c r="AM73" s="148"/>
      <c r="AN73" s="145" t="s">
        <v>16</v>
      </c>
      <c r="AO73" s="153"/>
      <c r="AP73" s="153"/>
      <c r="AQ73" s="153"/>
      <c r="AR73" s="153"/>
      <c r="AS73" s="153"/>
      <c r="AT73" s="153"/>
      <c r="AU73" s="153"/>
      <c r="AV73" s="153"/>
      <c r="AW73" s="153"/>
      <c r="AX73" s="153"/>
      <c r="AY73" s="153"/>
      <c r="AZ73" s="153"/>
      <c r="BA73" s="153"/>
      <c r="BB73" s="153"/>
      <c r="BC73" s="153"/>
      <c r="BD73" s="153"/>
      <c r="BE73" s="153"/>
      <c r="BF73" s="148"/>
      <c r="BG73" s="153">
        <f t="shared" si="16"/>
        <v>0</v>
      </c>
      <c r="BH73" s="153"/>
      <c r="BI73" s="153"/>
      <c r="BJ73" s="153"/>
      <c r="BK73" s="153">
        <v>368297</v>
      </c>
      <c r="BL73" s="153"/>
      <c r="BM73" s="153">
        <v>491063</v>
      </c>
    </row>
    <row r="74" spans="1:65" s="77" customFormat="1" ht="16">
      <c r="A74" s="144" t="s">
        <v>125</v>
      </c>
      <c r="B74" s="145" t="s">
        <v>118</v>
      </c>
      <c r="C74" s="145" t="s">
        <v>126</v>
      </c>
      <c r="D74" s="145" t="s">
        <v>111</v>
      </c>
      <c r="E74" s="145" t="s">
        <v>871</v>
      </c>
      <c r="F74" s="145" t="s">
        <v>115</v>
      </c>
      <c r="G74" s="145">
        <v>1</v>
      </c>
      <c r="H74" s="146"/>
      <c r="I74" s="145" t="s">
        <v>141</v>
      </c>
      <c r="J74" s="145"/>
      <c r="K74" s="145"/>
      <c r="L74" s="145"/>
      <c r="M74" s="145">
        <v>2013</v>
      </c>
      <c r="N74" s="145"/>
      <c r="O74" s="145">
        <v>2014</v>
      </c>
      <c r="P74" s="145">
        <v>2014</v>
      </c>
      <c r="Q74" s="148">
        <v>0</v>
      </c>
      <c r="R74" s="145"/>
      <c r="S74" s="145"/>
      <c r="T74" s="145">
        <v>60</v>
      </c>
      <c r="U74" s="145"/>
      <c r="V74" s="145" t="s">
        <v>156</v>
      </c>
      <c r="W74" s="145" t="s">
        <v>162</v>
      </c>
      <c r="X74" s="145" t="s">
        <v>165</v>
      </c>
      <c r="Y74" s="145" t="s">
        <v>171</v>
      </c>
      <c r="Z74" s="145"/>
      <c r="AA74" s="145"/>
      <c r="AB74" s="152"/>
      <c r="AC74" s="150"/>
      <c r="AD74" s="150"/>
      <c r="AE74" s="151">
        <v>0.72</v>
      </c>
      <c r="AF74" s="150">
        <f t="shared" si="13"/>
        <v>0</v>
      </c>
      <c r="AG74" s="150"/>
      <c r="AH74" s="155"/>
      <c r="AI74" s="155"/>
      <c r="AJ74" s="167"/>
      <c r="AK74" s="167"/>
      <c r="AL74" s="145"/>
      <c r="AM74" s="145"/>
      <c r="AN74" s="145"/>
      <c r="AO74" s="144"/>
      <c r="AP74" s="144"/>
      <c r="AQ74" s="144"/>
      <c r="AR74" s="144"/>
      <c r="AS74" s="144"/>
      <c r="AT74" s="144"/>
      <c r="AU74" s="144"/>
      <c r="AV74" s="144"/>
      <c r="AW74" s="144"/>
      <c r="AX74" s="144"/>
      <c r="AY74" s="144"/>
      <c r="AZ74" s="144"/>
      <c r="BA74" s="144"/>
      <c r="BB74" s="144"/>
      <c r="BC74" s="144"/>
      <c r="BD74" s="144"/>
      <c r="BE74" s="144"/>
      <c r="BF74" s="148"/>
      <c r="BG74" s="144"/>
      <c r="BH74" s="144"/>
      <c r="BI74" s="144"/>
      <c r="BJ74" s="144"/>
      <c r="BK74" s="144"/>
      <c r="BL74" s="144"/>
      <c r="BM74" s="144"/>
    </row>
    <row r="75" spans="1:65" s="77" customFormat="1" ht="16">
      <c r="A75" s="144" t="s">
        <v>6</v>
      </c>
      <c r="B75" s="145" t="s">
        <v>118</v>
      </c>
      <c r="C75" s="145" t="s">
        <v>5</v>
      </c>
      <c r="D75" s="145" t="s">
        <v>111</v>
      </c>
      <c r="E75" s="145" t="s">
        <v>871</v>
      </c>
      <c r="F75" s="145" t="s">
        <v>54</v>
      </c>
      <c r="G75" s="146">
        <v>1</v>
      </c>
      <c r="H75" s="146" t="s">
        <v>25</v>
      </c>
      <c r="I75" s="147" t="s">
        <v>190</v>
      </c>
      <c r="J75" s="148"/>
      <c r="K75" s="148"/>
      <c r="L75" s="148"/>
      <c r="M75" s="145">
        <v>2014</v>
      </c>
      <c r="N75" s="145"/>
      <c r="O75" s="145">
        <v>2015</v>
      </c>
      <c r="P75" s="145">
        <v>2015</v>
      </c>
      <c r="Q75" s="148">
        <v>0</v>
      </c>
      <c r="R75" s="145"/>
      <c r="S75" s="145">
        <v>2016</v>
      </c>
      <c r="T75" s="146">
        <v>50</v>
      </c>
      <c r="U75" s="145" t="s">
        <v>132</v>
      </c>
      <c r="V75" s="145" t="s">
        <v>155</v>
      </c>
      <c r="W75" s="145"/>
      <c r="X75" s="145"/>
      <c r="Y75" s="145"/>
      <c r="Z75" s="145"/>
      <c r="AA75" s="145"/>
      <c r="AB75" s="150">
        <f>140191*T75</f>
        <v>7009550</v>
      </c>
      <c r="AC75" s="150">
        <f t="shared" si="17"/>
        <v>0</v>
      </c>
      <c r="AD75" s="150"/>
      <c r="AE75" s="151">
        <v>0.72</v>
      </c>
      <c r="AF75" s="150">
        <f t="shared" si="13"/>
        <v>0</v>
      </c>
      <c r="AG75" s="150"/>
      <c r="AH75" s="150">
        <f>AB75*9.7%</f>
        <v>679926.35</v>
      </c>
      <c r="AI75" s="150">
        <f t="shared" si="18"/>
        <v>169981.58749999999</v>
      </c>
      <c r="AJ75" s="150">
        <f t="shared" si="15"/>
        <v>509944.76249999995</v>
      </c>
      <c r="AK75" s="150"/>
      <c r="AL75" s="148">
        <v>1</v>
      </c>
      <c r="AM75" s="148"/>
      <c r="AN75" s="145" t="s">
        <v>16</v>
      </c>
      <c r="AO75" s="153"/>
      <c r="AP75" s="153"/>
      <c r="AQ75" s="153"/>
      <c r="AR75" s="153"/>
      <c r="AS75" s="153"/>
      <c r="AT75" s="153"/>
      <c r="AU75" s="153"/>
      <c r="AV75" s="153"/>
      <c r="AW75" s="153"/>
      <c r="AX75" s="153"/>
      <c r="AY75" s="153"/>
      <c r="AZ75" s="153"/>
      <c r="BA75" s="153"/>
      <c r="BB75" s="153"/>
      <c r="BC75" s="153"/>
      <c r="BD75" s="153"/>
      <c r="BE75" s="153"/>
      <c r="BF75" s="148"/>
      <c r="BG75" s="153">
        <f t="shared" ref="BG75:BG77" si="19">BE75*(1-BF75)</f>
        <v>0</v>
      </c>
      <c r="BH75" s="153"/>
      <c r="BI75" s="153">
        <v>152983</v>
      </c>
      <c r="BJ75" s="153"/>
      <c r="BK75" s="153">
        <v>101989</v>
      </c>
      <c r="BL75" s="153">
        <v>254972</v>
      </c>
      <c r="BM75" s="153"/>
    </row>
    <row r="76" spans="1:65" s="77" customFormat="1" ht="16">
      <c r="A76" s="144" t="s">
        <v>127</v>
      </c>
      <c r="B76" s="145" t="s">
        <v>118</v>
      </c>
      <c r="C76" s="145" t="s">
        <v>128</v>
      </c>
      <c r="D76" s="145" t="s">
        <v>247</v>
      </c>
      <c r="E76" s="145" t="s">
        <v>871</v>
      </c>
      <c r="F76" s="145" t="s">
        <v>115</v>
      </c>
      <c r="G76" s="146">
        <v>1</v>
      </c>
      <c r="H76" s="146" t="s">
        <v>14</v>
      </c>
      <c r="I76" s="147" t="s">
        <v>141</v>
      </c>
      <c r="J76" s="148" t="s">
        <v>197</v>
      </c>
      <c r="K76" s="148"/>
      <c r="L76" s="148"/>
      <c r="M76" s="145" t="s">
        <v>14</v>
      </c>
      <c r="N76" s="145"/>
      <c r="O76" s="145">
        <v>2014</v>
      </c>
      <c r="P76" s="145">
        <v>2014</v>
      </c>
      <c r="Q76" s="148">
        <v>0</v>
      </c>
      <c r="R76" s="145"/>
      <c r="S76" s="145" t="s">
        <v>14</v>
      </c>
      <c r="T76" s="146">
        <v>60</v>
      </c>
      <c r="U76" s="145" t="s">
        <v>14</v>
      </c>
      <c r="V76" s="145" t="s">
        <v>156</v>
      </c>
      <c r="W76" s="145" t="s">
        <v>162</v>
      </c>
      <c r="X76" s="145" t="s">
        <v>165</v>
      </c>
      <c r="Y76" s="145" t="s">
        <v>171</v>
      </c>
      <c r="Z76" s="145"/>
      <c r="AA76" s="145"/>
      <c r="AB76" s="152" t="s">
        <v>14</v>
      </c>
      <c r="AC76" s="152" t="s">
        <v>14</v>
      </c>
      <c r="AD76" s="152"/>
      <c r="AE76" s="151">
        <v>0.72</v>
      </c>
      <c r="AF76" s="155" t="s">
        <v>14</v>
      </c>
      <c r="AG76" s="155"/>
      <c r="AH76" s="155" t="s">
        <v>14</v>
      </c>
      <c r="AI76" s="155" t="s">
        <v>14</v>
      </c>
      <c r="AJ76" s="155" t="s">
        <v>14</v>
      </c>
      <c r="AK76" s="155"/>
      <c r="AL76" s="148" t="s">
        <v>14</v>
      </c>
      <c r="AM76" s="148"/>
      <c r="AN76" s="145" t="s">
        <v>14</v>
      </c>
      <c r="AO76" s="153"/>
      <c r="AP76" s="153"/>
      <c r="AQ76" s="153"/>
      <c r="AR76" s="153"/>
      <c r="AS76" s="153"/>
      <c r="AT76" s="153"/>
      <c r="AU76" s="153"/>
      <c r="AV76" s="153"/>
      <c r="AW76" s="153"/>
      <c r="AX76" s="153"/>
      <c r="AY76" s="153"/>
      <c r="AZ76" s="153"/>
      <c r="BA76" s="153"/>
      <c r="BB76" s="153"/>
      <c r="BC76" s="153"/>
      <c r="BD76" s="153"/>
      <c r="BE76" s="153"/>
      <c r="BF76" s="148"/>
      <c r="BG76" s="153">
        <f t="shared" si="19"/>
        <v>0</v>
      </c>
      <c r="BH76" s="153"/>
      <c r="BI76" s="153"/>
      <c r="BJ76" s="153"/>
      <c r="BK76" s="153"/>
      <c r="BL76" s="153"/>
      <c r="BM76" s="153"/>
    </row>
    <row r="77" spans="1:65" s="77" customFormat="1" ht="16">
      <c r="A77" s="144" t="s">
        <v>47</v>
      </c>
      <c r="B77" s="145" t="s">
        <v>123</v>
      </c>
      <c r="C77" s="145" t="s">
        <v>34</v>
      </c>
      <c r="D77" s="145" t="s">
        <v>111</v>
      </c>
      <c r="E77" s="145" t="s">
        <v>871</v>
      </c>
      <c r="F77" s="145" t="s">
        <v>115</v>
      </c>
      <c r="G77" s="146">
        <v>1</v>
      </c>
      <c r="H77" s="146">
        <f>T77*10000</f>
        <v>1600000</v>
      </c>
      <c r="I77" s="147" t="s">
        <v>141</v>
      </c>
      <c r="J77" s="148"/>
      <c r="K77" s="148"/>
      <c r="L77" s="148"/>
      <c r="M77" s="145" t="s">
        <v>14</v>
      </c>
      <c r="N77" s="145"/>
      <c r="O77" s="145">
        <v>2014</v>
      </c>
      <c r="P77" s="145">
        <v>2014</v>
      </c>
      <c r="Q77" s="148">
        <v>0</v>
      </c>
      <c r="R77" s="145"/>
      <c r="S77" s="145" t="s">
        <v>14</v>
      </c>
      <c r="T77" s="146">
        <v>160</v>
      </c>
      <c r="U77" s="145" t="s">
        <v>132</v>
      </c>
      <c r="V77" s="145" t="s">
        <v>138</v>
      </c>
      <c r="W77" s="145" t="s">
        <v>162</v>
      </c>
      <c r="X77" s="145" t="s">
        <v>169</v>
      </c>
      <c r="Y77" s="145" t="s">
        <v>171</v>
      </c>
      <c r="Z77" s="145"/>
      <c r="AA77" s="145"/>
      <c r="AB77" s="152">
        <v>28800000</v>
      </c>
      <c r="AC77" s="150">
        <f>IF(J77=9%,AB77*0.75,0)+IF(J77=4%,AB77*30%,0)</f>
        <v>0</v>
      </c>
      <c r="AD77" s="150"/>
      <c r="AE77" s="151">
        <v>0.72</v>
      </c>
      <c r="AF77" s="150">
        <f t="shared" si="13"/>
        <v>0</v>
      </c>
      <c r="AG77" s="150"/>
      <c r="AH77" s="150">
        <f>AB77*9.7%</f>
        <v>2793599.9999999995</v>
      </c>
      <c r="AI77" s="150">
        <f>AH77*0.25</f>
        <v>698399.99999999988</v>
      </c>
      <c r="AJ77" s="150">
        <f>AH77-AI77</f>
        <v>2095199.9999999995</v>
      </c>
      <c r="AK77" s="150"/>
      <c r="AL77" s="148">
        <v>1</v>
      </c>
      <c r="AM77" s="148"/>
      <c r="AN77" s="145" t="s">
        <v>16</v>
      </c>
      <c r="AO77" s="153"/>
      <c r="AP77" s="153"/>
      <c r="AQ77" s="153"/>
      <c r="AR77" s="153"/>
      <c r="AS77" s="153"/>
      <c r="AT77" s="153"/>
      <c r="AU77" s="153"/>
      <c r="AV77" s="153"/>
      <c r="AW77" s="153"/>
      <c r="AX77" s="153"/>
      <c r="AY77" s="153"/>
      <c r="AZ77" s="153"/>
      <c r="BA77" s="153"/>
      <c r="BB77" s="153"/>
      <c r="BC77" s="153"/>
      <c r="BD77" s="153"/>
      <c r="BE77" s="153"/>
      <c r="BF77" s="148"/>
      <c r="BG77" s="153">
        <f t="shared" si="19"/>
        <v>0</v>
      </c>
      <c r="BH77" s="153"/>
      <c r="BI77" s="153"/>
      <c r="BJ77" s="153"/>
      <c r="BK77" s="153"/>
      <c r="BL77" s="153"/>
      <c r="BM77" s="153"/>
    </row>
    <row r="78" spans="1:65" s="77" customFormat="1">
      <c r="A78" s="144"/>
      <c r="B78" s="145"/>
      <c r="C78" s="145"/>
      <c r="D78" s="145"/>
      <c r="E78" s="145"/>
      <c r="F78" s="145"/>
      <c r="G78" s="146"/>
      <c r="H78" s="146"/>
      <c r="I78" s="147"/>
      <c r="J78" s="148"/>
      <c r="K78" s="148"/>
      <c r="L78" s="148"/>
      <c r="M78" s="145"/>
      <c r="N78" s="145"/>
      <c r="O78" s="145"/>
      <c r="P78" s="145"/>
      <c r="Q78" s="148"/>
      <c r="R78" s="145"/>
      <c r="S78" s="145"/>
      <c r="T78" s="146"/>
      <c r="U78" s="145"/>
      <c r="V78" s="145"/>
      <c r="W78" s="145"/>
      <c r="X78" s="145"/>
      <c r="Y78" s="145"/>
      <c r="Z78" s="145"/>
      <c r="AA78" s="145"/>
      <c r="AB78" s="168"/>
      <c r="AC78" s="155"/>
      <c r="AD78" s="155"/>
      <c r="AE78" s="151"/>
      <c r="AF78" s="152"/>
      <c r="AG78" s="152"/>
      <c r="AH78" s="152"/>
      <c r="AI78" s="152"/>
      <c r="AJ78" s="152"/>
      <c r="AK78" s="152"/>
      <c r="AL78" s="148"/>
      <c r="AM78" s="148"/>
      <c r="AN78" s="145"/>
      <c r="AO78" s="153"/>
      <c r="AP78" s="153"/>
      <c r="AQ78" s="153"/>
      <c r="AR78" s="153"/>
      <c r="AS78" s="153"/>
      <c r="AT78" s="153"/>
      <c r="AU78" s="153"/>
      <c r="AV78" s="153"/>
      <c r="AW78" s="153"/>
      <c r="AX78" s="153"/>
      <c r="AY78" s="153"/>
      <c r="AZ78" s="153"/>
      <c r="BA78" s="153"/>
      <c r="BB78" s="153"/>
      <c r="BC78" s="153"/>
      <c r="BD78" s="153"/>
      <c r="BE78" s="153"/>
      <c r="BF78" s="148"/>
      <c r="BG78" s="153"/>
      <c r="BH78" s="153"/>
      <c r="BI78" s="153"/>
      <c r="BJ78" s="153"/>
      <c r="BK78" s="153"/>
      <c r="BL78" s="153"/>
      <c r="BM78" s="153"/>
    </row>
    <row r="79" spans="1:65" s="77" customFormat="1">
      <c r="A79" s="144"/>
      <c r="B79" s="145"/>
      <c r="C79" s="145"/>
      <c r="D79" s="145"/>
      <c r="E79" s="145"/>
      <c r="F79" s="145"/>
      <c r="G79" s="146"/>
      <c r="H79" s="146"/>
      <c r="I79" s="147"/>
      <c r="J79" s="148"/>
      <c r="K79" s="148"/>
      <c r="L79" s="148"/>
      <c r="M79" s="145"/>
      <c r="N79" s="145"/>
      <c r="O79" s="145"/>
      <c r="P79" s="145"/>
      <c r="Q79" s="148"/>
      <c r="R79" s="145"/>
      <c r="S79" s="145"/>
      <c r="T79" s="146"/>
      <c r="U79" s="145"/>
      <c r="V79" s="145"/>
      <c r="W79" s="145"/>
      <c r="X79" s="145"/>
      <c r="Y79" s="145"/>
      <c r="Z79" s="145"/>
      <c r="AA79" s="145"/>
      <c r="AB79" s="168"/>
      <c r="AC79" s="155"/>
      <c r="AD79" s="155"/>
      <c r="AE79" s="151"/>
      <c r="AF79" s="152"/>
      <c r="AG79" s="152"/>
      <c r="AH79" s="152"/>
      <c r="AI79" s="152"/>
      <c r="AJ79" s="152"/>
      <c r="AK79" s="152"/>
      <c r="AL79" s="148"/>
      <c r="AM79" s="148"/>
      <c r="AN79" s="145"/>
      <c r="AO79" s="153"/>
      <c r="AP79" s="153"/>
      <c r="AQ79" s="153"/>
      <c r="AR79" s="153"/>
      <c r="AS79" s="153"/>
      <c r="AT79" s="153"/>
      <c r="AU79" s="153"/>
      <c r="AV79" s="153"/>
      <c r="AW79" s="153"/>
      <c r="AX79" s="153"/>
      <c r="AY79" s="153"/>
      <c r="AZ79" s="153"/>
      <c r="BA79" s="153"/>
      <c r="BB79" s="153"/>
      <c r="BC79" s="153"/>
      <c r="BD79" s="153"/>
      <c r="BE79" s="153"/>
      <c r="BF79" s="148"/>
      <c r="BG79" s="153"/>
      <c r="BH79" s="153"/>
      <c r="BI79" s="153"/>
      <c r="BJ79" s="153"/>
      <c r="BK79" s="153"/>
      <c r="BL79" s="153"/>
      <c r="BM79" s="153"/>
    </row>
    <row r="80" spans="1:65" s="77" customFormat="1">
      <c r="A80" s="144"/>
      <c r="B80" s="145"/>
      <c r="C80" s="145"/>
      <c r="D80" s="145"/>
      <c r="E80" s="145"/>
      <c r="F80" s="145"/>
      <c r="G80" s="146"/>
      <c r="H80" s="146"/>
      <c r="I80" s="147"/>
      <c r="J80" s="148"/>
      <c r="K80" s="148"/>
      <c r="L80" s="148"/>
      <c r="M80" s="145"/>
      <c r="N80" s="145"/>
      <c r="O80" s="145"/>
      <c r="P80" s="145"/>
      <c r="Q80" s="148"/>
      <c r="R80" s="145"/>
      <c r="S80" s="145"/>
      <c r="T80" s="146"/>
      <c r="U80" s="145"/>
      <c r="V80" s="145"/>
      <c r="W80" s="145"/>
      <c r="X80" s="145"/>
      <c r="Y80" s="145"/>
      <c r="Z80" s="145"/>
      <c r="AA80" s="145"/>
      <c r="AB80" s="168"/>
      <c r="AC80" s="155"/>
      <c r="AD80" s="155"/>
      <c r="AE80" s="151"/>
      <c r="AF80" s="152"/>
      <c r="AG80" s="152"/>
      <c r="AH80" s="152"/>
      <c r="AI80" s="152"/>
      <c r="AJ80" s="152"/>
      <c r="AK80" s="152"/>
      <c r="AL80" s="148"/>
      <c r="AM80" s="148"/>
      <c r="AN80" s="145"/>
      <c r="AO80" s="153"/>
      <c r="AP80" s="153"/>
      <c r="AQ80" s="153"/>
      <c r="AR80" s="153"/>
      <c r="AS80" s="153"/>
      <c r="AT80" s="153"/>
      <c r="AU80" s="153"/>
      <c r="AV80" s="153"/>
      <c r="AW80" s="153"/>
      <c r="AX80" s="153"/>
      <c r="AY80" s="153"/>
      <c r="AZ80" s="153"/>
      <c r="BA80" s="153"/>
      <c r="BB80" s="153"/>
      <c r="BC80" s="153"/>
      <c r="BD80" s="153"/>
      <c r="BE80" s="153"/>
      <c r="BF80" s="148"/>
      <c r="BG80" s="153"/>
      <c r="BH80" s="153"/>
      <c r="BI80" s="153"/>
      <c r="BJ80" s="153"/>
      <c r="BK80" s="153"/>
      <c r="BL80" s="153"/>
      <c r="BM80" s="153"/>
    </row>
    <row r="81" spans="1:65" s="77" customFormat="1">
      <c r="B81" s="78"/>
      <c r="C81" s="78"/>
      <c r="D81" s="78"/>
      <c r="E81" s="78"/>
      <c r="F81" s="78"/>
      <c r="G81" s="79"/>
      <c r="H81" s="79"/>
      <c r="I81" s="80"/>
      <c r="J81" s="81"/>
      <c r="K81" s="81"/>
      <c r="L81" s="81"/>
      <c r="M81" s="78"/>
      <c r="N81" s="78"/>
      <c r="O81" s="78"/>
      <c r="P81" s="78"/>
      <c r="Q81" s="81"/>
      <c r="R81" s="78"/>
      <c r="S81" s="78"/>
      <c r="T81" s="79"/>
      <c r="U81" s="78"/>
      <c r="V81" s="78"/>
      <c r="W81" s="78"/>
      <c r="X81" s="78"/>
      <c r="Y81" s="78"/>
      <c r="Z81" s="78"/>
      <c r="AA81" s="78"/>
      <c r="AB81" s="106"/>
      <c r="AC81" s="109"/>
      <c r="AD81" s="109"/>
      <c r="AE81" s="100"/>
      <c r="AF81" s="108"/>
      <c r="AG81" s="108"/>
      <c r="AH81" s="108"/>
      <c r="AI81" s="108"/>
      <c r="AJ81" s="108"/>
      <c r="AK81" s="108"/>
      <c r="AL81" s="81"/>
      <c r="AM81" s="81"/>
      <c r="AN81" s="78"/>
      <c r="AO81" s="82"/>
      <c r="AP81" s="82"/>
      <c r="AQ81" s="82"/>
      <c r="AR81" s="82"/>
      <c r="AS81" s="82"/>
      <c r="AT81" s="82"/>
      <c r="AU81" s="82"/>
      <c r="AV81" s="82"/>
      <c r="AW81" s="82"/>
      <c r="AX81" s="82"/>
      <c r="AY81" s="82"/>
      <c r="AZ81" s="82"/>
      <c r="BA81" s="82"/>
      <c r="BB81" s="82"/>
      <c r="BC81" s="82"/>
      <c r="BD81" s="82"/>
      <c r="BE81" s="82"/>
      <c r="BF81" s="81"/>
      <c r="BG81" s="82"/>
      <c r="BH81" s="82"/>
      <c r="BI81" s="82"/>
      <c r="BJ81" s="82"/>
      <c r="BK81" s="82"/>
      <c r="BL81" s="82"/>
      <c r="BM81" s="82"/>
    </row>
    <row r="82" spans="1:65" s="77" customFormat="1">
      <c r="B82" s="78"/>
      <c r="C82" s="78"/>
      <c r="D82" s="78"/>
      <c r="E82" s="78"/>
      <c r="F82" s="78"/>
      <c r="G82" s="79"/>
      <c r="H82" s="79"/>
      <c r="I82" s="80"/>
      <c r="J82" s="81"/>
      <c r="K82" s="81"/>
      <c r="L82" s="81"/>
      <c r="M82" s="78"/>
      <c r="N82" s="78"/>
      <c r="O82" s="78"/>
      <c r="P82" s="78"/>
      <c r="Q82" s="81"/>
      <c r="R82" s="78"/>
      <c r="S82" s="78"/>
      <c r="T82" s="79"/>
      <c r="U82" s="78"/>
      <c r="V82" s="78"/>
      <c r="W82" s="78"/>
      <c r="X82" s="78"/>
      <c r="Y82" s="78"/>
      <c r="Z82" s="78"/>
      <c r="AA82" s="78"/>
      <c r="AB82" s="106"/>
      <c r="AC82" s="109"/>
      <c r="AD82" s="109"/>
      <c r="AE82" s="100"/>
      <c r="AF82" s="108"/>
      <c r="AG82" s="108"/>
      <c r="AH82" s="108"/>
      <c r="AI82" s="108"/>
      <c r="AJ82" s="108"/>
      <c r="AK82" s="108"/>
      <c r="AL82" s="81"/>
      <c r="AM82" s="81"/>
      <c r="AN82" s="78"/>
      <c r="AO82" s="82"/>
      <c r="AP82" s="82">
        <f>SUM(AP61:AP80)</f>
        <v>0</v>
      </c>
      <c r="AQ82" s="82">
        <f t="shared" ref="AQ82:BM82" si="20">SUM(AQ61:AQ80)</f>
        <v>0</v>
      </c>
      <c r="AR82" s="82">
        <f t="shared" si="20"/>
        <v>0</v>
      </c>
      <c r="AS82" s="82"/>
      <c r="AT82" s="82"/>
      <c r="AU82" s="82"/>
      <c r="AV82" s="82"/>
      <c r="AW82" s="82"/>
      <c r="AX82" s="82"/>
      <c r="AY82" s="82"/>
      <c r="AZ82" s="82"/>
      <c r="BA82" s="82"/>
      <c r="BB82" s="82"/>
      <c r="BC82" s="82"/>
      <c r="BD82" s="82"/>
      <c r="BE82" s="82">
        <f t="shared" si="20"/>
        <v>0</v>
      </c>
      <c r="BF82" s="82"/>
      <c r="BG82" s="82">
        <f t="shared" si="20"/>
        <v>0</v>
      </c>
      <c r="BH82" s="82">
        <f t="shared" si="20"/>
        <v>1555379</v>
      </c>
      <c r="BI82" s="82">
        <f t="shared" si="20"/>
        <v>452983</v>
      </c>
      <c r="BJ82" s="82">
        <f t="shared" si="20"/>
        <v>1995477</v>
      </c>
      <c r="BK82" s="82">
        <f t="shared" si="20"/>
        <v>3198665</v>
      </c>
      <c r="BL82" s="82">
        <f t="shared" si="20"/>
        <v>1647822</v>
      </c>
      <c r="BM82" s="82">
        <f t="shared" si="20"/>
        <v>1785701</v>
      </c>
    </row>
    <row r="83" spans="1:65" s="77" customFormat="1">
      <c r="B83" s="78"/>
      <c r="C83" s="78"/>
      <c r="D83" s="78"/>
      <c r="E83" s="78"/>
      <c r="F83" s="78"/>
      <c r="G83" s="79"/>
      <c r="H83" s="79"/>
      <c r="I83" s="80"/>
      <c r="J83" s="81"/>
      <c r="K83" s="81"/>
      <c r="L83" s="81"/>
      <c r="M83" s="78"/>
      <c r="N83" s="78"/>
      <c r="O83" s="78"/>
      <c r="P83" s="78"/>
      <c r="Q83" s="81"/>
      <c r="R83" s="78"/>
      <c r="S83" s="78"/>
      <c r="T83" s="79"/>
      <c r="U83" s="78"/>
      <c r="V83" s="78"/>
      <c r="W83" s="78"/>
      <c r="X83" s="78"/>
      <c r="Y83" s="78"/>
      <c r="Z83" s="78"/>
      <c r="AA83" s="78"/>
      <c r="AB83" s="106"/>
      <c r="AC83" s="109"/>
      <c r="AD83" s="109"/>
      <c r="AE83" s="100"/>
      <c r="AF83" s="108"/>
      <c r="AG83" s="108"/>
      <c r="AH83" s="108"/>
      <c r="AI83" s="108"/>
      <c r="AJ83" s="108"/>
      <c r="AK83" s="108"/>
      <c r="AL83" s="81"/>
      <c r="AM83" s="81"/>
      <c r="AN83" s="78"/>
      <c r="AO83" s="82"/>
      <c r="AP83" s="82">
        <f>AP82+AP57</f>
        <v>922051.5</v>
      </c>
      <c r="AQ83" s="82">
        <f>AQ82+AQ57</f>
        <v>697817.48225299991</v>
      </c>
      <c r="AR83" s="82">
        <f>AR82+AR57</f>
        <v>1404313</v>
      </c>
      <c r="AS83" s="82"/>
      <c r="AT83" s="82"/>
      <c r="AU83" s="82"/>
      <c r="AV83" s="82"/>
      <c r="AW83" s="82"/>
      <c r="AX83" s="82"/>
      <c r="AY83" s="82"/>
      <c r="AZ83" s="82"/>
      <c r="BA83" s="82"/>
      <c r="BB83" s="82"/>
      <c r="BC83" s="82"/>
      <c r="BD83" s="82"/>
      <c r="BE83" s="82">
        <f>BE82+BE57</f>
        <v>4864271</v>
      </c>
      <c r="BF83" s="82"/>
      <c r="BG83" s="82">
        <f t="shared" ref="BG83:BM83" si="21">BG82+BG57</f>
        <v>2887333.8</v>
      </c>
      <c r="BH83" s="82">
        <f t="shared" si="21"/>
        <v>4552852.5</v>
      </c>
      <c r="BI83" s="82">
        <f t="shared" si="21"/>
        <v>5563908.875</v>
      </c>
      <c r="BJ83" s="82">
        <f t="shared" si="21"/>
        <v>6955262.875</v>
      </c>
      <c r="BK83" s="82">
        <f t="shared" si="21"/>
        <v>6014058.75</v>
      </c>
      <c r="BL83" s="82">
        <f t="shared" si="21"/>
        <v>3382147</v>
      </c>
      <c r="BM83" s="82">
        <f t="shared" si="21"/>
        <v>1916013.5</v>
      </c>
    </row>
    <row r="84" spans="1:65" s="77" customFormat="1">
      <c r="B84" s="78"/>
      <c r="C84" s="78"/>
      <c r="D84" s="78"/>
      <c r="E84" s="78"/>
      <c r="F84" s="78"/>
      <c r="G84" s="79"/>
      <c r="H84" s="79"/>
      <c r="I84" s="80"/>
      <c r="J84" s="81"/>
      <c r="K84" s="81"/>
      <c r="L84" s="81"/>
      <c r="M84" s="78"/>
      <c r="N84" s="78"/>
      <c r="O84" s="78"/>
      <c r="P84" s="78"/>
      <c r="Q84" s="81"/>
      <c r="R84" s="78"/>
      <c r="S84" s="78"/>
      <c r="T84" s="79"/>
      <c r="U84" s="78"/>
      <c r="V84" s="78"/>
      <c r="W84" s="78"/>
      <c r="X84" s="78"/>
      <c r="Y84" s="78"/>
      <c r="Z84" s="78"/>
      <c r="AA84" s="78"/>
      <c r="AB84" s="106"/>
      <c r="AC84" s="109"/>
      <c r="AD84" s="109"/>
      <c r="AE84" s="100"/>
      <c r="AF84" s="108"/>
      <c r="AG84" s="108"/>
      <c r="AH84" s="108"/>
      <c r="AI84" s="108"/>
      <c r="AJ84" s="108"/>
      <c r="AK84" s="108"/>
      <c r="AL84" s="81"/>
      <c r="AM84" s="81"/>
      <c r="AN84" s="78"/>
      <c r="AO84" s="82"/>
      <c r="AP84" s="82"/>
      <c r="AQ84" s="82"/>
      <c r="AR84" s="82"/>
      <c r="AS84" s="82"/>
      <c r="AT84" s="82"/>
      <c r="AU84" s="82"/>
      <c r="AV84" s="82"/>
      <c r="AW84" s="82"/>
      <c r="AX84" s="82"/>
      <c r="AY84" s="82"/>
      <c r="AZ84" s="82"/>
      <c r="BA84" s="82"/>
      <c r="BB84" s="82"/>
      <c r="BC84" s="82"/>
      <c r="BD84" s="82"/>
      <c r="BE84" s="82"/>
      <c r="BF84" s="81"/>
      <c r="BG84" s="82"/>
      <c r="BH84" s="82"/>
      <c r="BI84" s="82"/>
      <c r="BJ84" s="82"/>
      <c r="BK84" s="82"/>
      <c r="BL84" s="82"/>
      <c r="BM84" s="82"/>
    </row>
    <row r="85" spans="1:65" s="88" customFormat="1">
      <c r="A85" s="139" t="s">
        <v>139</v>
      </c>
      <c r="B85" s="83"/>
      <c r="C85" s="83"/>
      <c r="D85" s="83"/>
      <c r="E85" s="83"/>
      <c r="F85" s="83"/>
      <c r="G85" s="84"/>
      <c r="H85" s="84"/>
      <c r="I85" s="85"/>
      <c r="J85" s="83"/>
      <c r="K85" s="83"/>
      <c r="L85" s="83"/>
      <c r="M85" s="83"/>
      <c r="N85" s="83"/>
      <c r="O85" s="83"/>
      <c r="P85" s="83"/>
      <c r="Q85" s="87"/>
      <c r="R85" s="83"/>
      <c r="S85" s="83"/>
      <c r="T85" s="84"/>
      <c r="U85" s="83"/>
      <c r="V85" s="83"/>
      <c r="W85" s="83"/>
      <c r="X85" s="83"/>
      <c r="Y85" s="83"/>
      <c r="Z85" s="83"/>
      <c r="AA85" s="83"/>
      <c r="AB85" s="117"/>
      <c r="AC85" s="117"/>
      <c r="AD85" s="117"/>
      <c r="AE85" s="101"/>
      <c r="AF85" s="111"/>
      <c r="AG85" s="111"/>
      <c r="AH85" s="111"/>
      <c r="AI85" s="111"/>
      <c r="AJ85" s="111"/>
      <c r="AK85" s="111"/>
      <c r="AL85" s="83"/>
      <c r="AM85" s="83"/>
      <c r="AN85" s="83"/>
      <c r="AO85" s="86"/>
      <c r="AP85" s="86"/>
      <c r="AQ85" s="86"/>
      <c r="AR85" s="86"/>
      <c r="AS85" s="86"/>
      <c r="AT85" s="86"/>
      <c r="AU85" s="86"/>
      <c r="AV85" s="86"/>
      <c r="AW85" s="86"/>
      <c r="AX85" s="86"/>
      <c r="AY85" s="86"/>
      <c r="AZ85" s="86"/>
      <c r="BA85" s="86"/>
      <c r="BB85" s="86"/>
      <c r="BC85" s="86"/>
      <c r="BD85" s="86"/>
      <c r="BE85" s="86"/>
      <c r="BF85" s="87"/>
      <c r="BG85" s="86"/>
      <c r="BH85" s="86"/>
      <c r="BI85" s="86"/>
      <c r="BJ85" s="86"/>
      <c r="BK85" s="86"/>
      <c r="BL85" s="86"/>
      <c r="BM85" s="86"/>
    </row>
    <row r="86" spans="1:65" s="77" customFormat="1" ht="32">
      <c r="A86" s="144" t="s">
        <v>77</v>
      </c>
      <c r="B86" s="145" t="s">
        <v>109</v>
      </c>
      <c r="C86" s="145" t="s">
        <v>8</v>
      </c>
      <c r="D86" s="145" t="s">
        <v>111</v>
      </c>
      <c r="E86" s="145"/>
      <c r="F86" s="145"/>
      <c r="G86" s="146">
        <v>1</v>
      </c>
      <c r="H86" s="146">
        <v>0</v>
      </c>
      <c r="I86" s="147" t="s">
        <v>141</v>
      </c>
      <c r="J86" s="148" t="s">
        <v>199</v>
      </c>
      <c r="K86" s="148" t="s">
        <v>198</v>
      </c>
      <c r="L86" s="148" t="s">
        <v>193</v>
      </c>
      <c r="M86" s="145">
        <v>2007</v>
      </c>
      <c r="N86" s="145"/>
      <c r="O86" s="145">
        <v>2007</v>
      </c>
      <c r="P86" s="149">
        <v>39387</v>
      </c>
      <c r="Q86" s="148">
        <v>1</v>
      </c>
      <c r="R86" s="149">
        <v>39387</v>
      </c>
      <c r="S86" s="149">
        <v>39845</v>
      </c>
      <c r="T86" s="146">
        <v>102</v>
      </c>
      <c r="U86" s="145" t="s">
        <v>41</v>
      </c>
      <c r="V86" s="145" t="s">
        <v>155</v>
      </c>
      <c r="W86" s="145" t="s">
        <v>163</v>
      </c>
      <c r="X86" s="145"/>
      <c r="Y86" s="145" t="s">
        <v>67</v>
      </c>
      <c r="Z86" s="145"/>
      <c r="AA86" s="145"/>
      <c r="AB86" s="150">
        <f>T86*235000</f>
        <v>23970000</v>
      </c>
      <c r="AC86" s="150">
        <f>IF(I86="LIHTC - 9%",AB86*0.75,0)+IF(I86="LIHTC - 4%",AB86*30%,0)</f>
        <v>17977500</v>
      </c>
      <c r="AD86" s="150"/>
      <c r="AE86" s="151">
        <v>0.81</v>
      </c>
      <c r="AF86" s="150">
        <f>AC86*AE86</f>
        <v>14561775.000000002</v>
      </c>
      <c r="AG86" s="150"/>
      <c r="AH86" s="152">
        <v>482119</v>
      </c>
      <c r="AI86" s="152">
        <v>322972</v>
      </c>
      <c r="AJ86" s="150">
        <f>AH86-AI86</f>
        <v>159147</v>
      </c>
      <c r="AK86" s="150"/>
      <c r="AL86" s="148">
        <v>0.5</v>
      </c>
      <c r="AM86" s="148" t="s">
        <v>237</v>
      </c>
      <c r="AN86" s="145" t="s">
        <v>41</v>
      </c>
      <c r="AO86" s="153">
        <v>59204</v>
      </c>
      <c r="AP86" s="153">
        <v>3123</v>
      </c>
      <c r="AQ86" s="153"/>
      <c r="AR86" s="153">
        <v>187126</v>
      </c>
      <c r="AS86" s="153"/>
      <c r="AT86" s="153"/>
      <c r="AU86" s="153"/>
      <c r="AV86" s="153"/>
      <c r="AW86" s="153"/>
      <c r="AX86" s="153"/>
      <c r="AY86" s="153"/>
      <c r="AZ86" s="153"/>
      <c r="BA86" s="153"/>
      <c r="BB86" s="153"/>
      <c r="BC86" s="153"/>
      <c r="BD86" s="153"/>
      <c r="BE86" s="153"/>
      <c r="BF86" s="148"/>
      <c r="BG86" s="153"/>
      <c r="BH86" s="153"/>
      <c r="BI86" s="153"/>
      <c r="BJ86" s="153"/>
      <c r="BK86" s="153"/>
      <c r="BL86" s="153"/>
      <c r="BM86" s="153"/>
    </row>
    <row r="87" spans="1:65" s="77" customFormat="1" ht="32">
      <c r="A87" s="144" t="s">
        <v>23</v>
      </c>
      <c r="B87" s="145" t="s">
        <v>121</v>
      </c>
      <c r="C87" s="145" t="s">
        <v>8</v>
      </c>
      <c r="D87" s="145" t="s">
        <v>140</v>
      </c>
      <c r="E87" s="145"/>
      <c r="F87" s="145"/>
      <c r="G87" s="146">
        <v>1</v>
      </c>
      <c r="H87" s="146">
        <v>0</v>
      </c>
      <c r="I87" s="147" t="s">
        <v>43</v>
      </c>
      <c r="J87" s="148" t="s">
        <v>141</v>
      </c>
      <c r="K87" s="148"/>
      <c r="L87" s="148"/>
      <c r="M87" s="145">
        <v>2007</v>
      </c>
      <c r="N87" s="145"/>
      <c r="O87" s="145">
        <v>2008</v>
      </c>
      <c r="P87" s="145">
        <v>2008</v>
      </c>
      <c r="Q87" s="148"/>
      <c r="R87" s="145"/>
      <c r="S87" s="145">
        <f>P87+1</f>
        <v>2009</v>
      </c>
      <c r="T87" s="146">
        <v>83</v>
      </c>
      <c r="U87" s="145" t="s">
        <v>30</v>
      </c>
      <c r="V87" s="145" t="s">
        <v>138</v>
      </c>
      <c r="W87" s="145" t="s">
        <v>162</v>
      </c>
      <c r="X87" s="145" t="s">
        <v>169</v>
      </c>
      <c r="Y87" s="145" t="s">
        <v>171</v>
      </c>
      <c r="Z87" s="145" t="s">
        <v>173</v>
      </c>
      <c r="AA87" s="145"/>
      <c r="AB87" s="152">
        <v>6500000</v>
      </c>
      <c r="AC87" s="150">
        <f>IF(I87="LIHTC - 9%",AB87*0.75,0)+IF(I87="LIHTC - 4%",AB87*30%,0)</f>
        <v>0</v>
      </c>
      <c r="AD87" s="150"/>
      <c r="AE87" s="151">
        <v>0.84</v>
      </c>
      <c r="AF87" s="150">
        <f>AC87*AE87</f>
        <v>0</v>
      </c>
      <c r="AG87" s="150"/>
      <c r="AH87" s="152">
        <v>520000</v>
      </c>
      <c r="AI87" s="152">
        <v>0</v>
      </c>
      <c r="AJ87" s="150">
        <f>AH87-AI87</f>
        <v>520000</v>
      </c>
      <c r="AK87" s="150"/>
      <c r="AL87" s="148">
        <v>1</v>
      </c>
      <c r="AM87" s="148" t="s">
        <v>235</v>
      </c>
      <c r="AN87" s="145" t="s">
        <v>16</v>
      </c>
      <c r="AO87" s="153">
        <v>208000</v>
      </c>
      <c r="AP87" s="153">
        <v>256000</v>
      </c>
      <c r="AQ87" s="153"/>
      <c r="AR87" s="153"/>
      <c r="AS87" s="153"/>
      <c r="AT87" s="153"/>
      <c r="AU87" s="153"/>
      <c r="AV87" s="153"/>
      <c r="AW87" s="153"/>
      <c r="AX87" s="153"/>
      <c r="AY87" s="153"/>
      <c r="AZ87" s="153"/>
      <c r="BA87" s="153"/>
      <c r="BB87" s="153"/>
      <c r="BC87" s="153"/>
      <c r="BD87" s="153"/>
      <c r="BE87" s="153"/>
      <c r="BF87" s="148"/>
      <c r="BG87" s="153"/>
      <c r="BH87" s="153"/>
      <c r="BI87" s="153"/>
      <c r="BJ87" s="153"/>
      <c r="BK87" s="153"/>
      <c r="BL87" s="153"/>
      <c r="BM87" s="153"/>
    </row>
    <row r="88" spans="1:65" s="77" customFormat="1">
      <c r="B88" s="78"/>
      <c r="C88" s="78"/>
      <c r="D88" s="78"/>
      <c r="E88" s="78"/>
      <c r="F88" s="78"/>
      <c r="G88" s="79"/>
      <c r="H88" s="79"/>
      <c r="I88" s="80"/>
      <c r="J88" s="81"/>
      <c r="K88" s="81"/>
      <c r="L88" s="81"/>
      <c r="M88" s="78"/>
      <c r="N88" s="78"/>
      <c r="O88" s="78"/>
      <c r="P88" s="78"/>
      <c r="Q88" s="81"/>
      <c r="R88" s="78"/>
      <c r="S88" s="78"/>
      <c r="T88" s="79"/>
      <c r="U88" s="78"/>
      <c r="V88" s="78"/>
      <c r="W88" s="78"/>
      <c r="X88" s="78"/>
      <c r="Y88" s="78"/>
      <c r="Z88" s="78"/>
      <c r="AA88" s="78"/>
      <c r="AB88" s="106"/>
      <c r="AC88" s="109"/>
      <c r="AD88" s="109"/>
      <c r="AE88" s="100"/>
      <c r="AF88" s="108"/>
      <c r="AG88" s="108"/>
      <c r="AH88" s="108"/>
      <c r="AI88" s="108"/>
      <c r="AJ88" s="108"/>
      <c r="AK88" s="108"/>
      <c r="AL88" s="81"/>
      <c r="AM88" s="81"/>
      <c r="AN88" s="78"/>
      <c r="AO88" s="82"/>
      <c r="AP88" s="82"/>
      <c r="AQ88" s="82"/>
      <c r="AR88" s="82"/>
      <c r="AS88" s="82"/>
      <c r="AT88" s="82"/>
      <c r="AU88" s="82"/>
      <c r="AV88" s="82"/>
      <c r="AW88" s="82"/>
      <c r="AX88" s="82"/>
      <c r="AY88" s="82"/>
      <c r="AZ88" s="82"/>
      <c r="BA88" s="82"/>
      <c r="BB88" s="82"/>
      <c r="BC88" s="82"/>
      <c r="BD88" s="82"/>
      <c r="BE88" s="82"/>
      <c r="BF88" s="81"/>
      <c r="BG88" s="82"/>
      <c r="BH88" s="82"/>
      <c r="BI88" s="82"/>
      <c r="BJ88" s="82"/>
      <c r="BK88" s="82"/>
      <c r="BL88" s="82"/>
      <c r="BM88" s="82"/>
    </row>
    <row r="89" spans="1:65" s="77" customFormat="1" ht="16">
      <c r="A89" s="77" t="s">
        <v>586</v>
      </c>
      <c r="B89" s="78"/>
      <c r="C89" s="78"/>
      <c r="D89" s="78"/>
      <c r="E89" s="78"/>
      <c r="F89" s="78"/>
      <c r="G89" s="79"/>
      <c r="H89" s="79"/>
      <c r="I89" s="80"/>
      <c r="J89" s="81"/>
      <c r="K89" s="81"/>
      <c r="L89" s="81"/>
      <c r="M89" s="78"/>
      <c r="N89" s="78"/>
      <c r="O89" s="78"/>
      <c r="P89" s="78"/>
      <c r="Q89" s="81"/>
      <c r="R89" s="78"/>
      <c r="S89" s="78"/>
      <c r="T89" s="79"/>
      <c r="U89" s="78"/>
      <c r="V89" s="78"/>
      <c r="W89" s="78"/>
      <c r="X89" s="78"/>
      <c r="Y89" s="78"/>
      <c r="Z89" s="78"/>
      <c r="AA89" s="78"/>
      <c r="AB89" s="106"/>
      <c r="AC89" s="109"/>
      <c r="AD89" s="109"/>
      <c r="AE89" s="100"/>
      <c r="AF89" s="108"/>
      <c r="AG89" s="108"/>
      <c r="AH89" s="108"/>
      <c r="AI89" s="108"/>
      <c r="AJ89" s="108"/>
      <c r="AK89" s="108"/>
      <c r="AL89" s="81"/>
      <c r="AM89" s="81"/>
      <c r="AN89" s="78"/>
      <c r="AO89" s="82"/>
      <c r="AP89" s="82"/>
      <c r="AQ89" s="82"/>
      <c r="AR89" s="82"/>
      <c r="AS89" s="82"/>
      <c r="AT89" s="82"/>
      <c r="AU89" s="82"/>
      <c r="AV89" s="82"/>
      <c r="AW89" s="82"/>
      <c r="AX89" s="82"/>
      <c r="AY89" s="82"/>
      <c r="AZ89" s="82"/>
      <c r="BA89" s="82"/>
      <c r="BB89" s="82"/>
      <c r="BC89" s="82"/>
      <c r="BD89" s="82"/>
      <c r="BE89" s="82"/>
      <c r="BF89" s="81"/>
      <c r="BG89" s="82"/>
      <c r="BH89" s="82"/>
      <c r="BI89" s="82"/>
      <c r="BJ89" s="82"/>
      <c r="BK89" s="82"/>
      <c r="BL89" s="82"/>
      <c r="BM89" s="82"/>
    </row>
    <row r="90" spans="1:65" s="401" customFormat="1" ht="16">
      <c r="A90" s="402" t="s">
        <v>58</v>
      </c>
      <c r="B90" s="403"/>
      <c r="C90" s="403" t="s">
        <v>20</v>
      </c>
      <c r="D90" s="403" t="s">
        <v>111</v>
      </c>
      <c r="E90" s="403"/>
      <c r="F90" s="403" t="s">
        <v>115</v>
      </c>
      <c r="G90" s="404">
        <v>1</v>
      </c>
      <c r="H90" s="404">
        <f>10*43560</f>
        <v>435600</v>
      </c>
      <c r="I90" s="405" t="s">
        <v>141</v>
      </c>
      <c r="J90" s="406"/>
      <c r="K90" s="406"/>
      <c r="L90" s="406"/>
      <c r="M90" s="403">
        <v>2012</v>
      </c>
      <c r="N90" s="403"/>
      <c r="O90" s="403">
        <v>2013</v>
      </c>
      <c r="P90" s="403">
        <v>2013</v>
      </c>
      <c r="Q90" s="406">
        <v>0</v>
      </c>
      <c r="R90" s="403"/>
      <c r="S90" s="403">
        <v>2013</v>
      </c>
      <c r="T90" s="404">
        <v>55</v>
      </c>
      <c r="U90" s="403" t="s">
        <v>14</v>
      </c>
      <c r="V90" s="403" t="s">
        <v>155</v>
      </c>
      <c r="W90" s="403"/>
      <c r="X90" s="403"/>
      <c r="Y90" s="403"/>
      <c r="Z90" s="403"/>
      <c r="AA90" s="403"/>
      <c r="AB90" s="407">
        <f>T90*175000</f>
        <v>9625000</v>
      </c>
      <c r="AC90" s="407">
        <f>IF(I90="LIHTC - 9%",AB90*0.75,0)+IF(I90="LIHTC - 4%",AB90*30%,0)</f>
        <v>7218750</v>
      </c>
      <c r="AD90" s="407"/>
      <c r="AE90" s="408">
        <v>0.72</v>
      </c>
      <c r="AF90" s="407">
        <f>AC90*AE90</f>
        <v>5197500</v>
      </c>
      <c r="AG90" s="407"/>
      <c r="AH90" s="407">
        <f>AB90*10%</f>
        <v>962500</v>
      </c>
      <c r="AI90" s="407">
        <f>AH90*0.25</f>
        <v>240625</v>
      </c>
      <c r="AJ90" s="407">
        <f>AH90-AI90</f>
        <v>721875</v>
      </c>
      <c r="AK90" s="407"/>
      <c r="AL90" s="406">
        <v>1</v>
      </c>
      <c r="AM90" s="406"/>
      <c r="AN90" s="403" t="s">
        <v>16</v>
      </c>
      <c r="AO90" s="409"/>
      <c r="AP90" s="409"/>
      <c r="AQ90" s="409"/>
      <c r="AR90" s="409"/>
      <c r="AS90" s="409"/>
      <c r="AT90" s="409"/>
      <c r="AU90" s="409"/>
      <c r="AV90" s="409"/>
      <c r="AW90" s="409"/>
      <c r="AX90" s="409"/>
      <c r="AY90" s="409"/>
      <c r="AZ90" s="409"/>
      <c r="BA90" s="409"/>
      <c r="BB90" s="409"/>
      <c r="BC90" s="409"/>
      <c r="BD90" s="409"/>
      <c r="BE90" s="409"/>
      <c r="BF90" s="406"/>
      <c r="BG90" s="409">
        <f>BE90*(1-BF90)</f>
        <v>0</v>
      </c>
      <c r="BH90" s="409"/>
      <c r="BI90" s="409"/>
      <c r="BJ90" s="409"/>
      <c r="BK90" s="409"/>
      <c r="BL90" s="409"/>
      <c r="BM90" s="409"/>
    </row>
    <row r="91" spans="1:65" s="401" customFormat="1" ht="16">
      <c r="A91" s="402" t="s">
        <v>48</v>
      </c>
      <c r="B91" s="403"/>
      <c r="C91" s="403" t="s">
        <v>20</v>
      </c>
      <c r="D91" s="403" t="s">
        <v>111</v>
      </c>
      <c r="E91" s="403"/>
      <c r="F91" s="403" t="s">
        <v>115</v>
      </c>
      <c r="G91" s="404">
        <v>1</v>
      </c>
      <c r="H91" s="404">
        <v>0</v>
      </c>
      <c r="I91" s="405" t="s">
        <v>141</v>
      </c>
      <c r="J91" s="406"/>
      <c r="K91" s="406"/>
      <c r="L91" s="406"/>
      <c r="M91" s="403">
        <v>2012</v>
      </c>
      <c r="N91" s="403"/>
      <c r="O91" s="403">
        <v>2013</v>
      </c>
      <c r="P91" s="403">
        <v>2013</v>
      </c>
      <c r="Q91" s="406">
        <v>0</v>
      </c>
      <c r="R91" s="403"/>
      <c r="S91" s="403">
        <v>2013</v>
      </c>
      <c r="T91" s="404">
        <v>55</v>
      </c>
      <c r="U91" s="403" t="s">
        <v>14</v>
      </c>
      <c r="V91" s="403" t="s">
        <v>155</v>
      </c>
      <c r="W91" s="403"/>
      <c r="X91" s="403"/>
      <c r="Y91" s="403"/>
      <c r="Z91" s="403"/>
      <c r="AA91" s="403"/>
      <c r="AB91" s="407">
        <f>T91*175000</f>
        <v>9625000</v>
      </c>
      <c r="AC91" s="407">
        <f>IF(I91="LIHTC - 9%",AB91*0.75,0)+IF(I91="LIHTC - 4%",AB91*30%,0)</f>
        <v>7218750</v>
      </c>
      <c r="AD91" s="407"/>
      <c r="AE91" s="408">
        <v>0.72</v>
      </c>
      <c r="AF91" s="407">
        <f>AC91*AE91</f>
        <v>5197500</v>
      </c>
      <c r="AG91" s="407"/>
      <c r="AH91" s="407">
        <f>AB91*10%</f>
        <v>962500</v>
      </c>
      <c r="AI91" s="407">
        <f>AH91*0.25</f>
        <v>240625</v>
      </c>
      <c r="AJ91" s="407">
        <f>AH91-AI91</f>
        <v>721875</v>
      </c>
      <c r="AK91" s="407"/>
      <c r="AL91" s="406">
        <v>1</v>
      </c>
      <c r="AM91" s="406"/>
      <c r="AN91" s="403" t="s">
        <v>16</v>
      </c>
      <c r="AO91" s="409"/>
      <c r="AP91" s="409"/>
      <c r="AQ91" s="409"/>
      <c r="AR91" s="409"/>
      <c r="AS91" s="409"/>
      <c r="AT91" s="409"/>
      <c r="AU91" s="409"/>
      <c r="AV91" s="409"/>
      <c r="AW91" s="409"/>
      <c r="AX91" s="409"/>
      <c r="AY91" s="409"/>
      <c r="AZ91" s="409"/>
      <c r="BA91" s="409"/>
      <c r="BB91" s="409"/>
      <c r="BC91" s="409"/>
      <c r="BD91" s="409"/>
      <c r="BE91" s="409"/>
      <c r="BF91" s="406"/>
      <c r="BG91" s="409">
        <f>BE91*(1-BF91)</f>
        <v>0</v>
      </c>
      <c r="BH91" s="409"/>
      <c r="BI91" s="409"/>
      <c r="BJ91" s="409"/>
      <c r="BK91" s="409"/>
      <c r="BL91" s="409"/>
      <c r="BM91" s="409"/>
    </row>
    <row r="92" spans="1:65" s="401" customFormat="1" ht="16">
      <c r="A92" s="402" t="s">
        <v>48</v>
      </c>
      <c r="B92" s="403"/>
      <c r="C92" s="403" t="s">
        <v>20</v>
      </c>
      <c r="D92" s="403" t="s">
        <v>111</v>
      </c>
      <c r="E92" s="403"/>
      <c r="F92" s="403" t="s">
        <v>115</v>
      </c>
      <c r="G92" s="404">
        <v>1</v>
      </c>
      <c r="H92" s="404">
        <v>0</v>
      </c>
      <c r="I92" s="405" t="s">
        <v>141</v>
      </c>
      <c r="J92" s="406"/>
      <c r="K92" s="406"/>
      <c r="L92" s="406"/>
      <c r="M92" s="403">
        <v>2014</v>
      </c>
      <c r="N92" s="403"/>
      <c r="O92" s="403">
        <v>2014</v>
      </c>
      <c r="P92" s="403">
        <v>2014</v>
      </c>
      <c r="Q92" s="406">
        <v>0</v>
      </c>
      <c r="R92" s="403"/>
      <c r="S92" s="403">
        <v>2015</v>
      </c>
      <c r="T92" s="404">
        <v>55</v>
      </c>
      <c r="U92" s="403" t="s">
        <v>14</v>
      </c>
      <c r="V92" s="403" t="s">
        <v>156</v>
      </c>
      <c r="W92" s="403"/>
      <c r="X92" s="403"/>
      <c r="Y92" s="403"/>
      <c r="Z92" s="403"/>
      <c r="AA92" s="403"/>
      <c r="AB92" s="407">
        <f>T92*175000</f>
        <v>9625000</v>
      </c>
      <c r="AC92" s="407">
        <f>IF(I92="LIHTC - 9%",AB92*0.75,0)+IF(I92="LIHTC - 4%",AB92*30%,0)</f>
        <v>7218750</v>
      </c>
      <c r="AD92" s="407"/>
      <c r="AE92" s="408">
        <v>0.72</v>
      </c>
      <c r="AF92" s="407">
        <f>AC92*AE92</f>
        <v>5197500</v>
      </c>
      <c r="AG92" s="407"/>
      <c r="AH92" s="407">
        <f>AB92*10%</f>
        <v>962500</v>
      </c>
      <c r="AI92" s="407">
        <f>AH92*0.25</f>
        <v>240625</v>
      </c>
      <c r="AJ92" s="407">
        <f>AH92-AI92</f>
        <v>721875</v>
      </c>
      <c r="AK92" s="407"/>
      <c r="AL92" s="406">
        <v>1</v>
      </c>
      <c r="AM92" s="406"/>
      <c r="AN92" s="403" t="s">
        <v>16</v>
      </c>
      <c r="AO92" s="409"/>
      <c r="AP92" s="409"/>
      <c r="AQ92" s="409"/>
      <c r="AR92" s="409"/>
      <c r="AS92" s="409"/>
      <c r="AT92" s="409"/>
      <c r="AU92" s="409"/>
      <c r="AV92" s="409"/>
      <c r="AW92" s="409"/>
      <c r="AX92" s="409"/>
      <c r="AY92" s="409"/>
      <c r="AZ92" s="409"/>
      <c r="BA92" s="409"/>
      <c r="BB92" s="409"/>
      <c r="BC92" s="409"/>
      <c r="BD92" s="409"/>
      <c r="BE92" s="409"/>
      <c r="BF92" s="406"/>
      <c r="BG92" s="409">
        <f>BE92*(1-BF92)</f>
        <v>0</v>
      </c>
      <c r="BH92" s="409"/>
      <c r="BI92" s="409"/>
      <c r="BJ92" s="409"/>
      <c r="BK92" s="409"/>
      <c r="BL92" s="409"/>
      <c r="BM92" s="409"/>
    </row>
    <row r="93" spans="1:65" s="401" customFormat="1" ht="16">
      <c r="A93" s="402" t="s">
        <v>50</v>
      </c>
      <c r="B93" s="403"/>
      <c r="C93" s="403" t="s">
        <v>20</v>
      </c>
      <c r="D93" s="403" t="s">
        <v>111</v>
      </c>
      <c r="E93" s="403"/>
      <c r="F93" s="403" t="s">
        <v>115</v>
      </c>
      <c r="G93" s="404">
        <v>1</v>
      </c>
      <c r="H93" s="404">
        <v>0</v>
      </c>
      <c r="I93" s="405" t="s">
        <v>141</v>
      </c>
      <c r="J93" s="406"/>
      <c r="K93" s="406"/>
      <c r="L93" s="406"/>
      <c r="M93" s="403">
        <v>2013</v>
      </c>
      <c r="N93" s="403"/>
      <c r="O93" s="403">
        <v>2014</v>
      </c>
      <c r="P93" s="403">
        <v>2014</v>
      </c>
      <c r="Q93" s="406">
        <v>0</v>
      </c>
      <c r="R93" s="403"/>
      <c r="S93" s="403">
        <v>2014</v>
      </c>
      <c r="T93" s="404">
        <v>55</v>
      </c>
      <c r="U93" s="403" t="s">
        <v>14</v>
      </c>
      <c r="V93" s="403" t="s">
        <v>155</v>
      </c>
      <c r="W93" s="403"/>
      <c r="X93" s="403"/>
      <c r="Y93" s="403"/>
      <c r="Z93" s="403"/>
      <c r="AA93" s="403"/>
      <c r="AB93" s="407">
        <f>T93*175000</f>
        <v>9625000</v>
      </c>
      <c r="AC93" s="407">
        <f>IF(I93="LIHTC - 9%",AB93*0.75,0)+IF(I93="LIHTC - 4%",AB93*30%,0)</f>
        <v>7218750</v>
      </c>
      <c r="AD93" s="407"/>
      <c r="AE93" s="408">
        <v>0.72</v>
      </c>
      <c r="AF93" s="407">
        <f>AC93*AE93</f>
        <v>5197500</v>
      </c>
      <c r="AG93" s="407"/>
      <c r="AH93" s="407">
        <f>AB93*10%</f>
        <v>962500</v>
      </c>
      <c r="AI93" s="407">
        <f>AH93*0.25</f>
        <v>240625</v>
      </c>
      <c r="AJ93" s="407">
        <f>AH93-AI93</f>
        <v>721875</v>
      </c>
      <c r="AK93" s="407"/>
      <c r="AL93" s="406">
        <v>1</v>
      </c>
      <c r="AM93" s="406"/>
      <c r="AN93" s="403" t="s">
        <v>16</v>
      </c>
      <c r="AO93" s="409"/>
      <c r="AP93" s="409"/>
      <c r="AQ93" s="409"/>
      <c r="AR93" s="409"/>
      <c r="AS93" s="409"/>
      <c r="AT93" s="409"/>
      <c r="AU93" s="409"/>
      <c r="AV93" s="409"/>
      <c r="AW93" s="409"/>
      <c r="AX93" s="409"/>
      <c r="AY93" s="409"/>
      <c r="AZ93" s="409"/>
      <c r="BA93" s="409"/>
      <c r="BB93" s="409"/>
      <c r="BC93" s="409"/>
      <c r="BD93" s="409"/>
      <c r="BE93" s="409"/>
      <c r="BF93" s="406"/>
      <c r="BG93" s="409">
        <f>BE93*(1-BF93)</f>
        <v>0</v>
      </c>
      <c r="BH93" s="409">
        <v>366660</v>
      </c>
      <c r="BI93" s="409"/>
      <c r="BJ93" s="409">
        <v>244440</v>
      </c>
      <c r="BK93" s="409">
        <v>611100</v>
      </c>
      <c r="BL93" s="409"/>
      <c r="BM93" s="409"/>
    </row>
    <row r="94" spans="1:65" s="77" customFormat="1" ht="32">
      <c r="A94" s="410" t="s">
        <v>577</v>
      </c>
      <c r="B94" s="411" t="s">
        <v>118</v>
      </c>
      <c r="C94" s="411" t="s">
        <v>20</v>
      </c>
      <c r="D94" s="411" t="s">
        <v>248</v>
      </c>
      <c r="E94" s="411"/>
      <c r="F94" s="411" t="s">
        <v>115</v>
      </c>
      <c r="G94" s="412">
        <v>1</v>
      </c>
      <c r="H94" s="413" t="s">
        <v>14</v>
      </c>
      <c r="I94" s="414" t="s">
        <v>141</v>
      </c>
      <c r="J94" s="415" t="s">
        <v>14</v>
      </c>
      <c r="K94" s="415" t="s">
        <v>14</v>
      </c>
      <c r="L94" s="415" t="s">
        <v>14</v>
      </c>
      <c r="M94" s="416">
        <v>2013</v>
      </c>
      <c r="N94" s="416"/>
      <c r="O94" s="416">
        <v>2013</v>
      </c>
      <c r="P94" s="417">
        <v>41609</v>
      </c>
      <c r="Q94" s="418">
        <v>0</v>
      </c>
      <c r="R94" s="417">
        <v>41640</v>
      </c>
      <c r="S94" s="417">
        <v>42005</v>
      </c>
      <c r="T94" s="412">
        <v>55</v>
      </c>
      <c r="U94" s="411" t="s">
        <v>132</v>
      </c>
      <c r="V94" s="411" t="s">
        <v>156</v>
      </c>
      <c r="W94" s="411" t="s">
        <v>162</v>
      </c>
      <c r="X94" s="411" t="s">
        <v>165</v>
      </c>
      <c r="Y94" s="411" t="s">
        <v>171</v>
      </c>
      <c r="Z94" s="411" t="s">
        <v>174</v>
      </c>
      <c r="AA94" s="411" t="s">
        <v>14</v>
      </c>
      <c r="AB94" s="419">
        <f>T94*175000</f>
        <v>9625000</v>
      </c>
      <c r="AC94" s="420" t="s">
        <v>14</v>
      </c>
      <c r="AD94" s="420" t="s">
        <v>14</v>
      </c>
      <c r="AE94" s="421"/>
      <c r="AF94" s="420" t="s">
        <v>14</v>
      </c>
      <c r="AG94" s="420"/>
      <c r="AH94" s="420">
        <v>900000</v>
      </c>
      <c r="AI94" s="420">
        <f>0.25*AH94</f>
        <v>225000</v>
      </c>
      <c r="AJ94" s="420">
        <f t="shared" ref="AJ94" si="22">AH94-AI94</f>
        <v>675000</v>
      </c>
      <c r="AK94" s="422"/>
      <c r="AL94" s="415">
        <v>1</v>
      </c>
      <c r="AM94" s="415" t="s">
        <v>235</v>
      </c>
      <c r="AN94" s="411" t="s">
        <v>16</v>
      </c>
      <c r="AO94" s="423"/>
      <c r="AP94" s="423"/>
      <c r="AQ94" s="423"/>
      <c r="AR94" s="423"/>
      <c r="AS94" s="423"/>
      <c r="AT94" s="423"/>
      <c r="AU94" s="423"/>
      <c r="AV94" s="423"/>
      <c r="AW94" s="423"/>
      <c r="AX94" s="423"/>
      <c r="AY94" s="423"/>
      <c r="AZ94" s="423"/>
      <c r="BA94" s="423"/>
      <c r="BB94" s="423"/>
      <c r="BC94" s="423"/>
      <c r="BD94" s="423"/>
      <c r="BE94" s="424"/>
      <c r="BF94" s="418"/>
      <c r="BG94" s="424"/>
      <c r="BH94" s="424">
        <f>0.25*AJ94</f>
        <v>168750</v>
      </c>
      <c r="BI94" s="424"/>
      <c r="BJ94" s="424">
        <f>0.25*AJ94</f>
        <v>168750</v>
      </c>
      <c r="BK94" s="425">
        <f>0.4*AJ94</f>
        <v>270000</v>
      </c>
      <c r="BL94" s="425">
        <f>0.1*AJ94</f>
        <v>67500</v>
      </c>
      <c r="BM94" s="423"/>
    </row>
    <row r="95" spans="1:65" s="77" customFormat="1">
      <c r="B95" s="78"/>
      <c r="C95" s="78"/>
      <c r="D95" s="78"/>
      <c r="E95" s="78"/>
      <c r="F95" s="78"/>
      <c r="G95" s="79"/>
      <c r="H95" s="79"/>
      <c r="I95" s="80"/>
      <c r="J95" s="81"/>
      <c r="K95" s="81"/>
      <c r="L95" s="81"/>
      <c r="M95" s="78"/>
      <c r="N95" s="78"/>
      <c r="O95" s="78"/>
      <c r="P95" s="78"/>
      <c r="Q95" s="81"/>
      <c r="R95" s="78"/>
      <c r="S95" s="78"/>
      <c r="T95" s="79"/>
      <c r="U95" s="78"/>
      <c r="V95" s="78"/>
      <c r="W95" s="78"/>
      <c r="X95" s="78"/>
      <c r="Y95" s="78"/>
      <c r="Z95" s="78"/>
      <c r="AA95" s="78"/>
      <c r="AB95" s="106"/>
      <c r="AC95" s="109"/>
      <c r="AD95" s="109"/>
      <c r="AE95" s="100"/>
      <c r="AF95" s="108"/>
      <c r="AG95" s="108"/>
      <c r="AH95" s="108"/>
      <c r="AI95" s="108"/>
      <c r="AJ95" s="108"/>
      <c r="AK95" s="108"/>
      <c r="AL95" s="81"/>
      <c r="AM95" s="81"/>
      <c r="AN95" s="78"/>
      <c r="AO95" s="82"/>
      <c r="AP95" s="82"/>
      <c r="AQ95" s="82"/>
      <c r="AR95" s="82"/>
      <c r="AS95" s="82"/>
      <c r="AT95" s="82"/>
      <c r="AU95" s="82"/>
      <c r="AV95" s="82"/>
      <c r="AW95" s="82"/>
      <c r="AX95" s="82"/>
      <c r="AY95" s="82"/>
      <c r="AZ95" s="82"/>
      <c r="BA95" s="82"/>
      <c r="BB95" s="82"/>
      <c r="BC95" s="82"/>
      <c r="BD95" s="82"/>
      <c r="BE95" s="82"/>
      <c r="BF95" s="81"/>
      <c r="BG95" s="82"/>
      <c r="BH95" s="82"/>
      <c r="BI95" s="82"/>
      <c r="BJ95" s="82"/>
      <c r="BK95" s="82"/>
      <c r="BL95" s="82"/>
      <c r="BM95" s="82"/>
    </row>
    <row r="96" spans="1:65" s="88" customFormat="1">
      <c r="B96" s="83"/>
      <c r="C96" s="83"/>
      <c r="D96" s="83"/>
      <c r="E96" s="83"/>
      <c r="F96" s="83"/>
      <c r="G96" s="84"/>
      <c r="H96" s="84"/>
      <c r="I96" s="80"/>
      <c r="J96" s="87"/>
      <c r="K96" s="87"/>
      <c r="L96" s="87"/>
      <c r="M96" s="78"/>
      <c r="N96" s="78"/>
      <c r="O96" s="78"/>
      <c r="P96" s="78"/>
      <c r="Q96" s="87"/>
      <c r="R96" s="78"/>
      <c r="S96" s="78"/>
      <c r="T96" s="84"/>
      <c r="U96" s="83"/>
      <c r="V96" s="83"/>
      <c r="W96" s="83"/>
      <c r="X96" s="83"/>
      <c r="Y96" s="83"/>
      <c r="Z96" s="83"/>
      <c r="AA96" s="83"/>
      <c r="AB96" s="110"/>
      <c r="AC96" s="111"/>
      <c r="AD96" s="111"/>
      <c r="AE96" s="101"/>
      <c r="AF96" s="112"/>
      <c r="AG96" s="117"/>
      <c r="AH96" s="112"/>
      <c r="AI96" s="112"/>
      <c r="AJ96" s="112"/>
      <c r="AK96" s="117"/>
      <c r="AL96" s="81"/>
      <c r="AM96" s="81"/>
      <c r="AN96" s="83"/>
      <c r="AO96" s="86"/>
      <c r="AP96" s="86"/>
      <c r="AQ96" s="86"/>
      <c r="AR96" s="86"/>
      <c r="AS96" s="86"/>
      <c r="AT96" s="86"/>
      <c r="AU96" s="86"/>
      <c r="AV96" s="86"/>
      <c r="AW96" s="86"/>
      <c r="AX96" s="86"/>
      <c r="AY96" s="86"/>
      <c r="AZ96" s="86"/>
      <c r="BA96" s="86"/>
      <c r="BB96" s="86"/>
      <c r="BC96" s="86"/>
      <c r="BD96" s="86"/>
      <c r="BE96" s="86"/>
      <c r="BF96" s="87"/>
      <c r="BG96" s="86"/>
      <c r="BH96" s="86"/>
      <c r="BI96" s="86"/>
      <c r="BJ96" s="86"/>
      <c r="BK96" s="86"/>
      <c r="BL96" s="86"/>
      <c r="BM96" s="86"/>
    </row>
    <row r="97" spans="1:65" s="67" customFormat="1" ht="16">
      <c r="A97" s="71" t="s">
        <v>12</v>
      </c>
      <c r="B97" s="72"/>
      <c r="C97" s="72"/>
      <c r="D97" s="72"/>
      <c r="E97" s="72"/>
      <c r="F97" s="72"/>
      <c r="G97" s="73">
        <f>COUNTIF(G43:G45,"&gt;0")</f>
        <v>3</v>
      </c>
      <c r="H97" s="73"/>
      <c r="I97" s="70"/>
      <c r="J97" s="65"/>
      <c r="K97" s="65"/>
      <c r="L97" s="65"/>
      <c r="M97" s="4"/>
      <c r="N97" s="4"/>
      <c r="O97" s="4"/>
      <c r="P97" s="4"/>
      <c r="Q97" s="98"/>
      <c r="R97" s="4"/>
      <c r="S97" s="4"/>
      <c r="T97" s="74">
        <f>SUM(T43:T45)</f>
        <v>219</v>
      </c>
      <c r="U97" s="4"/>
      <c r="V97" s="72"/>
      <c r="W97" s="72"/>
      <c r="X97" s="72"/>
      <c r="Y97" s="72"/>
      <c r="Z97" s="72"/>
      <c r="AA97" s="72"/>
      <c r="AB97" s="113">
        <f>SUM(AB43:AB45)</f>
        <v>16780500</v>
      </c>
      <c r="AC97" s="113">
        <f>SUM(AC43:AC45)</f>
        <v>12585375</v>
      </c>
      <c r="AD97" s="113"/>
      <c r="AE97" s="103"/>
      <c r="AF97" s="113">
        <f>SUM(AF43:AF45)</f>
        <v>11452691.25</v>
      </c>
      <c r="AG97" s="113"/>
      <c r="AH97" s="113">
        <f>SUM(AH43:AH45)</f>
        <v>1000000</v>
      </c>
      <c r="AI97" s="113">
        <f>SUM(AI43:AI45)</f>
        <v>640000</v>
      </c>
      <c r="AJ97" s="113">
        <f>SUM(AJ43:AJ45)</f>
        <v>360000</v>
      </c>
      <c r="AK97" s="113"/>
      <c r="AL97" s="70"/>
      <c r="AM97" s="70"/>
      <c r="AN97" s="4"/>
      <c r="AO97" s="68"/>
      <c r="AP97" s="68"/>
      <c r="AQ97" s="68"/>
      <c r="AR97" s="68"/>
      <c r="AS97" s="68"/>
      <c r="AT97" s="68"/>
      <c r="AU97" s="68"/>
      <c r="AV97" s="68"/>
      <c r="AW97" s="68"/>
      <c r="AX97" s="68"/>
      <c r="AY97" s="68"/>
      <c r="AZ97" s="68"/>
      <c r="BA97" s="68"/>
      <c r="BB97" s="68"/>
      <c r="BC97" s="68"/>
      <c r="BD97" s="68"/>
      <c r="BE97" s="68"/>
      <c r="BF97" s="69"/>
      <c r="BG97" s="68"/>
      <c r="BH97" s="68"/>
      <c r="BI97" s="68"/>
      <c r="BJ97" s="68"/>
      <c r="BK97" s="68"/>
      <c r="BL97" s="68"/>
      <c r="BM97" s="68"/>
    </row>
    <row r="98" spans="1:65" s="67" customFormat="1">
      <c r="B98" s="4"/>
      <c r="C98" s="4"/>
      <c r="D98" s="4"/>
      <c r="E98" s="4"/>
      <c r="F98" s="4"/>
      <c r="G98" s="4"/>
      <c r="H98" s="70"/>
      <c r="I98" s="4"/>
      <c r="J98" s="4"/>
      <c r="K98" s="4"/>
      <c r="L98" s="4"/>
      <c r="M98" s="4"/>
      <c r="N98" s="4"/>
      <c r="O98" s="4"/>
      <c r="P98" s="4"/>
      <c r="Q98" s="69"/>
      <c r="R98" s="4"/>
      <c r="S98" s="4"/>
      <c r="T98" s="4"/>
      <c r="U98" s="4"/>
      <c r="V98" s="4"/>
      <c r="W98" s="4"/>
      <c r="X98" s="4"/>
      <c r="Y98" s="4"/>
      <c r="Z98" s="4"/>
      <c r="AA98" s="4"/>
      <c r="AB98" s="114"/>
      <c r="AC98" s="114"/>
      <c r="AD98" s="114"/>
      <c r="AE98" s="104"/>
      <c r="AF98" s="114"/>
      <c r="AG98" s="114"/>
      <c r="AH98" s="114"/>
      <c r="AI98" s="114"/>
      <c r="AJ98" s="114"/>
      <c r="AK98" s="114"/>
      <c r="AL98" s="4"/>
      <c r="AM98" s="4"/>
      <c r="AN98" s="4"/>
      <c r="AO98" s="68"/>
      <c r="AP98" s="68"/>
      <c r="AQ98" s="68"/>
      <c r="AR98" s="68"/>
      <c r="AS98" s="68"/>
      <c r="AT98" s="68"/>
      <c r="AU98" s="68"/>
      <c r="AV98" s="68"/>
      <c r="AW98" s="68"/>
      <c r="AX98" s="68"/>
      <c r="AY98" s="68"/>
      <c r="AZ98" s="68"/>
      <c r="BA98" s="68"/>
      <c r="BB98" s="68"/>
      <c r="BC98" s="68"/>
      <c r="BD98" s="68"/>
      <c r="BE98" s="68"/>
      <c r="BF98" s="69"/>
      <c r="BG98" s="68"/>
      <c r="BH98" s="68"/>
      <c r="BI98" s="68"/>
      <c r="BJ98" s="68"/>
      <c r="BK98" s="68"/>
      <c r="BL98" s="68"/>
      <c r="BM98" s="68"/>
    </row>
    <row r="99" spans="1:65" s="67" customFormat="1">
      <c r="B99" s="4"/>
      <c r="C99" s="4"/>
      <c r="D99" s="4"/>
      <c r="E99" s="4"/>
      <c r="F99" s="4"/>
      <c r="G99" s="4"/>
      <c r="H99" s="70"/>
      <c r="I99" s="4"/>
      <c r="J99" s="4"/>
      <c r="K99" s="4"/>
      <c r="L99" s="4"/>
      <c r="M99" s="4"/>
      <c r="N99" s="4"/>
      <c r="O99" s="4"/>
      <c r="P99" s="4"/>
      <c r="Q99" s="69"/>
      <c r="R99" s="4"/>
      <c r="S99" s="4"/>
      <c r="T99" s="70"/>
      <c r="U99" s="4"/>
      <c r="V99" s="4"/>
      <c r="W99" s="4"/>
      <c r="X99" s="4"/>
      <c r="Y99" s="4"/>
      <c r="Z99" s="4"/>
      <c r="AA99" s="4"/>
      <c r="AB99" s="114"/>
      <c r="AC99" s="114"/>
      <c r="AD99" s="114"/>
      <c r="AE99" s="104"/>
      <c r="AF99" s="114"/>
      <c r="AG99" s="114"/>
      <c r="AH99" s="114"/>
      <c r="AI99" s="114"/>
      <c r="AJ99" s="114"/>
      <c r="AK99" s="114"/>
      <c r="AL99" s="4"/>
      <c r="AM99" s="4"/>
      <c r="AN99" s="4"/>
      <c r="AO99" s="68"/>
      <c r="AP99" s="68"/>
      <c r="AQ99" s="68"/>
      <c r="AR99" s="68"/>
      <c r="AS99" s="68"/>
      <c r="AT99" s="68"/>
      <c r="AU99" s="68"/>
      <c r="AV99" s="68"/>
      <c r="AW99" s="68"/>
      <c r="AX99" s="68"/>
      <c r="AY99" s="68"/>
      <c r="AZ99" s="68"/>
      <c r="BA99" s="68"/>
      <c r="BB99" s="68"/>
      <c r="BC99" s="68"/>
      <c r="BD99" s="68"/>
      <c r="BE99" s="68"/>
      <c r="BF99" s="69"/>
      <c r="BG99" s="68"/>
      <c r="BH99" s="68"/>
      <c r="BI99" s="68"/>
      <c r="BJ99" s="68"/>
      <c r="BK99" s="68"/>
      <c r="BL99" s="68"/>
      <c r="BM99" s="68"/>
    </row>
    <row r="100" spans="1:65" s="67" customFormat="1">
      <c r="B100" s="4"/>
      <c r="C100" s="4"/>
      <c r="D100" s="4"/>
      <c r="E100" s="4"/>
      <c r="F100" s="4"/>
      <c r="G100" s="4"/>
      <c r="H100" s="70"/>
      <c r="I100" s="4"/>
      <c r="J100" s="4"/>
      <c r="K100" s="4"/>
      <c r="L100" s="4"/>
      <c r="M100" s="4"/>
      <c r="N100" s="4"/>
      <c r="O100" s="4"/>
      <c r="P100" s="4"/>
      <c r="Q100" s="69"/>
      <c r="R100" s="4"/>
      <c r="S100" s="4"/>
      <c r="T100" s="4"/>
      <c r="U100" s="4"/>
      <c r="V100" s="4"/>
      <c r="W100" s="4"/>
      <c r="X100" s="4"/>
      <c r="Y100" s="4"/>
      <c r="Z100" s="4"/>
      <c r="AA100" s="4"/>
      <c r="AB100" s="114"/>
      <c r="AC100" s="114"/>
      <c r="AD100" s="114"/>
      <c r="AE100" s="104"/>
      <c r="AF100" s="114"/>
      <c r="AG100" s="114"/>
      <c r="AH100" s="114"/>
      <c r="AI100" s="114"/>
      <c r="AJ100" s="114"/>
      <c r="AK100" s="114"/>
      <c r="AL100" s="4"/>
      <c r="AM100" s="4"/>
      <c r="AN100" s="4"/>
      <c r="AO100" s="68"/>
      <c r="AP100" s="68"/>
      <c r="AQ100" s="68"/>
      <c r="AR100" s="68"/>
      <c r="AS100" s="68"/>
      <c r="AT100" s="68"/>
      <c r="AU100" s="68"/>
      <c r="AV100" s="68"/>
      <c r="AW100" s="68"/>
      <c r="AX100" s="68"/>
      <c r="AY100" s="68"/>
      <c r="AZ100" s="68"/>
      <c r="BA100" s="68"/>
      <c r="BB100" s="68"/>
      <c r="BC100" s="68"/>
      <c r="BD100" s="68"/>
      <c r="BE100" s="68"/>
      <c r="BF100" s="69"/>
      <c r="BG100" s="68"/>
      <c r="BH100" s="68"/>
      <c r="BI100" s="68"/>
      <c r="BJ100" s="68"/>
      <c r="BK100" s="68"/>
      <c r="BL100" s="68"/>
      <c r="BM100" s="68"/>
    </row>
    <row r="101" spans="1:65" s="67" customFormat="1">
      <c r="B101" s="4"/>
      <c r="C101" s="4"/>
      <c r="D101" s="4"/>
      <c r="E101" s="4"/>
      <c r="F101" s="4"/>
      <c r="G101" s="4"/>
      <c r="H101" s="70"/>
      <c r="I101" s="4"/>
      <c r="J101" s="4"/>
      <c r="K101" s="4"/>
      <c r="L101" s="4"/>
      <c r="M101" s="4"/>
      <c r="N101" s="4"/>
      <c r="O101" s="4"/>
      <c r="P101" s="4"/>
      <c r="Q101" s="69"/>
      <c r="R101" s="4"/>
      <c r="S101" s="4"/>
      <c r="T101" s="4"/>
      <c r="U101" s="4"/>
      <c r="V101" s="4"/>
      <c r="W101" s="4"/>
      <c r="X101" s="4"/>
      <c r="Y101" s="4"/>
      <c r="Z101" s="4"/>
      <c r="AA101" s="4"/>
      <c r="AB101" s="114"/>
      <c r="AC101" s="114"/>
      <c r="AD101" s="114"/>
      <c r="AE101" s="104"/>
      <c r="AF101" s="114"/>
      <c r="AG101" s="114"/>
      <c r="AH101" s="114"/>
      <c r="AI101" s="114"/>
      <c r="AJ101" s="114"/>
      <c r="AK101" s="114"/>
      <c r="AL101" s="4"/>
      <c r="AM101" s="4"/>
      <c r="AN101" s="4"/>
      <c r="AO101" s="68"/>
      <c r="AP101" s="68"/>
      <c r="AQ101" s="68"/>
      <c r="AR101" s="68"/>
      <c r="AS101" s="68"/>
      <c r="AT101" s="68"/>
      <c r="AU101" s="68"/>
      <c r="AV101" s="68"/>
      <c r="AW101" s="68"/>
      <c r="AX101" s="68"/>
      <c r="AY101" s="68"/>
      <c r="AZ101" s="68"/>
      <c r="BA101" s="68"/>
      <c r="BB101" s="68"/>
      <c r="BC101" s="68"/>
      <c r="BD101" s="68"/>
      <c r="BE101" s="68"/>
      <c r="BF101" s="69"/>
      <c r="BG101" s="68"/>
      <c r="BH101" s="68"/>
      <c r="BI101" s="68"/>
      <c r="BJ101" s="68"/>
      <c r="BK101" s="68"/>
      <c r="BL101" s="68"/>
      <c r="BM101" s="68"/>
    </row>
    <row r="102" spans="1:65" s="67" customFormat="1">
      <c r="B102" s="4"/>
      <c r="C102" s="4"/>
      <c r="D102" s="4"/>
      <c r="E102" s="4"/>
      <c r="F102" s="4"/>
      <c r="G102" s="4"/>
      <c r="H102" s="70"/>
      <c r="I102" s="4"/>
      <c r="J102" s="4"/>
      <c r="K102" s="4"/>
      <c r="L102" s="4"/>
      <c r="M102" s="4"/>
      <c r="N102" s="4"/>
      <c r="O102" s="4"/>
      <c r="P102" s="4"/>
      <c r="Q102" s="69"/>
      <c r="R102" s="4"/>
      <c r="S102" s="4"/>
      <c r="T102" s="4"/>
      <c r="U102" s="4"/>
      <c r="V102" s="4"/>
      <c r="W102" s="4"/>
      <c r="X102" s="4"/>
      <c r="Y102" s="4"/>
      <c r="Z102" s="4"/>
      <c r="AA102" s="4"/>
      <c r="AB102" s="114"/>
      <c r="AC102" s="114"/>
      <c r="AD102" s="114"/>
      <c r="AE102" s="104"/>
      <c r="AF102" s="114"/>
      <c r="AG102" s="114"/>
      <c r="AH102" s="114"/>
      <c r="AI102" s="114"/>
      <c r="AJ102" s="114"/>
      <c r="AK102" s="114"/>
      <c r="AL102" s="4"/>
      <c r="AM102" s="4"/>
      <c r="AN102" s="4"/>
      <c r="AO102" s="68"/>
      <c r="AP102" s="68"/>
      <c r="AQ102" s="68"/>
      <c r="AR102" s="68"/>
      <c r="AS102" s="68"/>
      <c r="AT102" s="68"/>
      <c r="AU102" s="68"/>
      <c r="AV102" s="68"/>
      <c r="AW102" s="68"/>
      <c r="AX102" s="68"/>
      <c r="AY102" s="68"/>
      <c r="AZ102" s="68"/>
      <c r="BA102" s="68"/>
      <c r="BB102" s="68"/>
      <c r="BC102" s="68"/>
      <c r="BD102" s="68"/>
      <c r="BE102" s="68"/>
      <c r="BF102" s="69"/>
      <c r="BG102" s="68"/>
      <c r="BH102" s="68"/>
      <c r="BI102" s="68"/>
      <c r="BJ102" s="68"/>
      <c r="BK102" s="68"/>
      <c r="BL102" s="68"/>
      <c r="BM102" s="68"/>
    </row>
    <row r="103" spans="1:65" s="67" customFormat="1">
      <c r="B103" s="4"/>
      <c r="C103" s="4"/>
      <c r="D103" s="4"/>
      <c r="E103" s="4"/>
      <c r="F103" s="4"/>
      <c r="G103" s="4"/>
      <c r="H103" s="70"/>
      <c r="I103" s="4"/>
      <c r="J103" s="4"/>
      <c r="K103" s="4"/>
      <c r="L103" s="4"/>
      <c r="M103" s="4"/>
      <c r="N103" s="4"/>
      <c r="O103" s="4"/>
      <c r="P103" s="4"/>
      <c r="Q103" s="69"/>
      <c r="R103" s="4"/>
      <c r="S103" s="4"/>
      <c r="T103" s="4"/>
      <c r="U103" s="4"/>
      <c r="V103" s="4"/>
      <c r="W103" s="4"/>
      <c r="X103" s="4"/>
      <c r="Y103" s="4"/>
      <c r="Z103" s="4"/>
      <c r="AA103" s="4"/>
      <c r="AB103" s="114"/>
      <c r="AC103" s="114"/>
      <c r="AD103" s="114"/>
      <c r="AE103" s="104"/>
      <c r="AF103" s="114"/>
      <c r="AG103" s="114"/>
      <c r="AH103" s="114"/>
      <c r="AI103" s="114"/>
      <c r="AJ103" s="114"/>
      <c r="AK103" s="114"/>
      <c r="AL103" s="4"/>
      <c r="AM103" s="4"/>
      <c r="AN103" s="4"/>
      <c r="AO103" s="68"/>
      <c r="AP103" s="68"/>
      <c r="AQ103" s="68"/>
      <c r="AR103" s="68"/>
      <c r="AS103" s="68"/>
      <c r="AT103" s="68"/>
      <c r="AU103" s="68"/>
      <c r="AV103" s="68"/>
      <c r="AW103" s="68"/>
      <c r="AX103" s="68"/>
      <c r="AY103" s="68"/>
      <c r="AZ103" s="68"/>
      <c r="BA103" s="68"/>
      <c r="BB103" s="68"/>
      <c r="BC103" s="68"/>
      <c r="BD103" s="68"/>
      <c r="BE103" s="68"/>
      <c r="BF103" s="69"/>
      <c r="BG103" s="68"/>
      <c r="BH103" s="68"/>
      <c r="BI103" s="68"/>
      <c r="BJ103" s="68"/>
      <c r="BK103" s="68"/>
      <c r="BL103" s="68"/>
      <c r="BM103" s="68"/>
    </row>
    <row r="104" spans="1:65" s="67" customFormat="1">
      <c r="B104" s="4"/>
      <c r="C104" s="4"/>
      <c r="D104" s="4"/>
      <c r="E104" s="4"/>
      <c r="F104" s="4"/>
      <c r="G104" s="4"/>
      <c r="H104" s="70"/>
      <c r="I104" s="4"/>
      <c r="J104" s="4"/>
      <c r="K104" s="4"/>
      <c r="L104" s="4"/>
      <c r="M104" s="4"/>
      <c r="N104" s="4"/>
      <c r="O104" s="4"/>
      <c r="P104" s="4"/>
      <c r="Q104" s="69"/>
      <c r="R104" s="4"/>
      <c r="S104" s="4"/>
      <c r="T104" s="4"/>
      <c r="U104" s="4"/>
      <c r="V104" s="4"/>
      <c r="W104" s="4"/>
      <c r="X104" s="4"/>
      <c r="Y104" s="4"/>
      <c r="Z104" s="4"/>
      <c r="AA104" s="4"/>
      <c r="AB104" s="114"/>
      <c r="AC104" s="114"/>
      <c r="AD104" s="114"/>
      <c r="AE104" s="104"/>
      <c r="AF104" s="114"/>
      <c r="AG104" s="114"/>
      <c r="AH104" s="114"/>
      <c r="AI104" s="114"/>
      <c r="AJ104" s="114"/>
      <c r="AK104" s="114"/>
      <c r="AL104" s="4"/>
      <c r="AM104" s="4"/>
      <c r="AN104" s="4"/>
      <c r="AO104" s="68"/>
      <c r="AP104" s="68"/>
      <c r="AQ104" s="68"/>
      <c r="AR104" s="68"/>
      <c r="AS104" s="68"/>
      <c r="AT104" s="68"/>
      <c r="AU104" s="68"/>
      <c r="AV104" s="68"/>
      <c r="AW104" s="68"/>
      <c r="AX104" s="68"/>
      <c r="AY104" s="68"/>
      <c r="AZ104" s="68"/>
      <c r="BA104" s="68"/>
      <c r="BB104" s="68"/>
      <c r="BC104" s="68"/>
      <c r="BD104" s="68"/>
      <c r="BE104" s="68"/>
      <c r="BF104" s="69"/>
      <c r="BG104" s="68"/>
      <c r="BH104" s="68"/>
      <c r="BI104" s="68"/>
      <c r="BJ104" s="68"/>
      <c r="BK104" s="68"/>
      <c r="BL104" s="68"/>
      <c r="BM104" s="68"/>
    </row>
    <row r="105" spans="1:65" s="67" customFormat="1">
      <c r="B105" s="4"/>
      <c r="C105" s="4"/>
      <c r="D105" s="4"/>
      <c r="E105" s="4"/>
      <c r="F105" s="4"/>
      <c r="G105" s="4"/>
      <c r="H105" s="70"/>
      <c r="I105" s="4"/>
      <c r="J105" s="4"/>
      <c r="K105" s="4"/>
      <c r="L105" s="4"/>
      <c r="M105" s="4"/>
      <c r="N105" s="4"/>
      <c r="O105" s="4"/>
      <c r="P105" s="4"/>
      <c r="Q105" s="69"/>
      <c r="R105" s="4"/>
      <c r="S105" s="4"/>
      <c r="T105" s="4"/>
      <c r="U105" s="4"/>
      <c r="V105" s="4"/>
      <c r="W105" s="4"/>
      <c r="X105" s="4"/>
      <c r="Y105" s="4"/>
      <c r="Z105" s="4"/>
      <c r="AA105" s="4"/>
      <c r="AB105" s="114"/>
      <c r="AC105" s="114"/>
      <c r="AD105" s="114"/>
      <c r="AE105" s="104"/>
      <c r="AF105" s="114"/>
      <c r="AG105" s="114"/>
      <c r="AH105" s="114"/>
      <c r="AI105" s="114"/>
      <c r="AJ105" s="114"/>
      <c r="AK105" s="114"/>
      <c r="AL105" s="4"/>
      <c r="AM105" s="4"/>
      <c r="AN105" s="4"/>
      <c r="AO105" s="68"/>
      <c r="AP105" s="68"/>
      <c r="AQ105" s="68"/>
      <c r="AR105" s="68"/>
      <c r="AS105" s="68"/>
      <c r="AT105" s="68"/>
      <c r="AU105" s="68"/>
      <c r="AV105" s="68"/>
      <c r="AW105" s="68"/>
      <c r="AX105" s="68"/>
      <c r="AY105" s="68"/>
      <c r="AZ105" s="68"/>
      <c r="BA105" s="68"/>
      <c r="BB105" s="68"/>
      <c r="BC105" s="68"/>
      <c r="BD105" s="68"/>
      <c r="BE105" s="68"/>
      <c r="BF105" s="69"/>
      <c r="BG105" s="68"/>
      <c r="BH105" s="68"/>
      <c r="BI105" s="68"/>
      <c r="BJ105" s="68"/>
      <c r="BK105" s="68"/>
      <c r="BL105" s="68"/>
      <c r="BM105" s="68"/>
    </row>
    <row r="106" spans="1:65" s="67" customFormat="1">
      <c r="B106" s="4"/>
      <c r="C106" s="4"/>
      <c r="D106" s="4"/>
      <c r="E106" s="4"/>
      <c r="F106" s="4"/>
      <c r="G106" s="4"/>
      <c r="H106" s="70"/>
      <c r="I106" s="4"/>
      <c r="J106" s="4"/>
      <c r="K106" s="4"/>
      <c r="L106" s="4"/>
      <c r="M106" s="4"/>
      <c r="N106" s="4"/>
      <c r="O106" s="4"/>
      <c r="P106" s="4"/>
      <c r="Q106" s="69"/>
      <c r="R106" s="4"/>
      <c r="S106" s="4"/>
      <c r="T106" s="4"/>
      <c r="U106" s="4"/>
      <c r="V106" s="4"/>
      <c r="W106" s="4"/>
      <c r="X106" s="4"/>
      <c r="Y106" s="4"/>
      <c r="Z106" s="4"/>
      <c r="AA106" s="4"/>
      <c r="AB106" s="114"/>
      <c r="AC106" s="114"/>
      <c r="AD106" s="114"/>
      <c r="AE106" s="104"/>
      <c r="AF106" s="114"/>
      <c r="AG106" s="114"/>
      <c r="AH106" s="114"/>
      <c r="AI106" s="114"/>
      <c r="AJ106" s="114"/>
      <c r="AK106" s="114"/>
      <c r="AL106" s="4"/>
      <c r="AM106" s="4"/>
      <c r="AN106" s="4"/>
      <c r="AO106" s="68"/>
      <c r="AP106" s="68"/>
      <c r="AQ106" s="68"/>
      <c r="AR106" s="68"/>
      <c r="AS106" s="68"/>
      <c r="AT106" s="68"/>
      <c r="AU106" s="68"/>
      <c r="AV106" s="68"/>
      <c r="AW106" s="68"/>
      <c r="AX106" s="68"/>
      <c r="AY106" s="68"/>
      <c r="AZ106" s="68"/>
      <c r="BA106" s="68"/>
      <c r="BB106" s="68"/>
      <c r="BC106" s="68"/>
      <c r="BD106" s="68"/>
      <c r="BE106" s="68"/>
      <c r="BF106" s="69"/>
      <c r="BG106" s="68"/>
      <c r="BH106" s="68"/>
      <c r="BI106" s="68"/>
      <c r="BJ106" s="68"/>
      <c r="BK106" s="68"/>
      <c r="BL106" s="68"/>
      <c r="BM106" s="68"/>
    </row>
    <row r="107" spans="1:65">
      <c r="AB107" s="115"/>
      <c r="AC107" s="115"/>
      <c r="AD107" s="115"/>
      <c r="AF107" s="115"/>
      <c r="AG107" s="115"/>
      <c r="AH107" s="115"/>
      <c r="AI107" s="115"/>
      <c r="AJ107" s="115"/>
      <c r="AK107" s="115"/>
      <c r="AO107" s="76"/>
      <c r="AP107" s="76"/>
      <c r="AQ107" s="76"/>
      <c r="AR107" s="76"/>
      <c r="AS107" s="76"/>
      <c r="AT107" s="76"/>
      <c r="AU107" s="76"/>
      <c r="AV107" s="76"/>
      <c r="AW107" s="76"/>
      <c r="AX107" s="76"/>
      <c r="AY107" s="76"/>
      <c r="AZ107" s="76"/>
      <c r="BA107" s="76"/>
      <c r="BB107" s="76"/>
      <c r="BC107" s="76"/>
      <c r="BD107" s="76"/>
      <c r="BE107" s="76"/>
      <c r="BG107" s="76"/>
      <c r="BH107" s="76"/>
      <c r="BI107" s="76"/>
      <c r="BJ107" s="76"/>
      <c r="BK107" s="76"/>
      <c r="BL107" s="76"/>
      <c r="BM107" s="76"/>
    </row>
    <row r="108" spans="1:65">
      <c r="AB108" s="115"/>
      <c r="AC108" s="115"/>
      <c r="AD108" s="115"/>
      <c r="AF108" s="115"/>
      <c r="AG108" s="115"/>
      <c r="AH108" s="115"/>
      <c r="AI108" s="115"/>
      <c r="AJ108" s="115"/>
      <c r="AK108" s="115"/>
      <c r="AO108" s="76"/>
      <c r="AP108" s="76"/>
      <c r="AQ108" s="76"/>
      <c r="AR108" s="76"/>
      <c r="AS108" s="76"/>
      <c r="AT108" s="76"/>
      <c r="AU108" s="76"/>
      <c r="AV108" s="76"/>
      <c r="AW108" s="76"/>
      <c r="AX108" s="76"/>
      <c r="AY108" s="76"/>
      <c r="AZ108" s="76"/>
      <c r="BA108" s="76"/>
      <c r="BB108" s="76"/>
      <c r="BC108" s="76"/>
      <c r="BD108" s="76"/>
      <c r="BE108" s="76"/>
      <c r="BG108" s="76"/>
      <c r="BH108" s="76"/>
      <c r="BI108" s="76"/>
      <c r="BJ108" s="76"/>
      <c r="BK108" s="76"/>
      <c r="BL108" s="76"/>
      <c r="BM108" s="76"/>
    </row>
    <row r="109" spans="1:65">
      <c r="AB109" s="115"/>
      <c r="AC109" s="115"/>
      <c r="AD109" s="115"/>
      <c r="AF109" s="115"/>
      <c r="AG109" s="115"/>
      <c r="AH109" s="115"/>
      <c r="AI109" s="115"/>
      <c r="AJ109" s="115"/>
      <c r="AK109" s="115"/>
      <c r="AO109" s="76"/>
      <c r="AP109" s="76"/>
      <c r="AQ109" s="76"/>
      <c r="AR109" s="76"/>
      <c r="AS109" s="76"/>
      <c r="AT109" s="76"/>
      <c r="AU109" s="76"/>
      <c r="AV109" s="76"/>
      <c r="AW109" s="76"/>
      <c r="AX109" s="76"/>
      <c r="AY109" s="76"/>
      <c r="AZ109" s="76"/>
      <c r="BA109" s="76"/>
      <c r="BB109" s="76"/>
      <c r="BC109" s="76"/>
      <c r="BD109" s="76"/>
      <c r="BE109" s="76"/>
      <c r="BG109" s="76"/>
      <c r="BH109" s="76"/>
      <c r="BI109" s="76"/>
      <c r="BJ109" s="76"/>
      <c r="BK109" s="76"/>
      <c r="BL109" s="76"/>
      <c r="BM109" s="76"/>
    </row>
    <row r="110" spans="1:65">
      <c r="AB110" s="115"/>
      <c r="AC110" s="115"/>
      <c r="AD110" s="115"/>
      <c r="AF110" s="115"/>
      <c r="AG110" s="115"/>
      <c r="AH110" s="115"/>
      <c r="AI110" s="115"/>
      <c r="AJ110" s="115"/>
      <c r="AK110" s="115"/>
      <c r="AO110" s="76"/>
      <c r="AP110" s="76"/>
      <c r="AQ110" s="76"/>
      <c r="AR110" s="76"/>
      <c r="AS110" s="76"/>
      <c r="AT110" s="76"/>
      <c r="AU110" s="76"/>
      <c r="AV110" s="76"/>
      <c r="AW110" s="76"/>
      <c r="AX110" s="76"/>
      <c r="AY110" s="76"/>
      <c r="AZ110" s="76"/>
      <c r="BA110" s="76"/>
      <c r="BB110" s="76"/>
      <c r="BC110" s="76"/>
      <c r="BD110" s="76"/>
      <c r="BE110" s="76"/>
      <c r="BG110" s="76"/>
      <c r="BH110" s="76"/>
      <c r="BI110" s="76"/>
      <c r="BJ110" s="76"/>
      <c r="BK110" s="76"/>
      <c r="BL110" s="76"/>
      <c r="BM110" s="76"/>
    </row>
    <row r="111" spans="1:65">
      <c r="AB111" s="115"/>
      <c r="AC111" s="115"/>
      <c r="AD111" s="115"/>
      <c r="AF111" s="115"/>
      <c r="AG111" s="115"/>
      <c r="AH111" s="115"/>
      <c r="AI111" s="115"/>
      <c r="AJ111" s="115"/>
      <c r="AK111" s="115"/>
      <c r="AO111" s="76"/>
      <c r="AP111" s="76"/>
      <c r="AQ111" s="76"/>
      <c r="AR111" s="76"/>
      <c r="AS111" s="76"/>
      <c r="AT111" s="76"/>
      <c r="AU111" s="76"/>
      <c r="AV111" s="76"/>
      <c r="AW111" s="76"/>
      <c r="AX111" s="76"/>
      <c r="AY111" s="76"/>
      <c r="AZ111" s="76"/>
      <c r="BA111" s="76"/>
      <c r="BB111" s="76"/>
      <c r="BC111" s="76"/>
      <c r="BD111" s="76"/>
      <c r="BE111" s="76"/>
      <c r="BG111" s="76"/>
      <c r="BH111" s="76"/>
      <c r="BI111" s="76"/>
      <c r="BJ111" s="76"/>
      <c r="BK111" s="76"/>
      <c r="BL111" s="76"/>
      <c r="BM111" s="76"/>
    </row>
    <row r="112" spans="1:65">
      <c r="AO112" s="76"/>
      <c r="AP112" s="76"/>
      <c r="AQ112" s="76"/>
      <c r="AR112" s="76"/>
      <c r="AS112" s="76"/>
      <c r="AT112" s="76"/>
      <c r="AU112" s="76"/>
      <c r="AV112" s="76"/>
      <c r="AW112" s="76"/>
      <c r="AX112" s="76"/>
      <c r="AY112" s="76"/>
      <c r="AZ112" s="76"/>
      <c r="BA112" s="76"/>
      <c r="BB112" s="76"/>
      <c r="BC112" s="76"/>
      <c r="BD112" s="76"/>
      <c r="BE112" s="76"/>
      <c r="BG112" s="76"/>
      <c r="BH112" s="76"/>
      <c r="BI112" s="76"/>
      <c r="BJ112" s="76"/>
      <c r="BK112" s="76"/>
      <c r="BL112" s="76"/>
      <c r="BM112" s="76"/>
    </row>
    <row r="113" spans="41:65">
      <c r="AO113" s="76"/>
      <c r="AP113" s="76"/>
      <c r="AQ113" s="76"/>
      <c r="AR113" s="76"/>
      <c r="AS113" s="76"/>
      <c r="AT113" s="76"/>
      <c r="AU113" s="76"/>
      <c r="AV113" s="76"/>
      <c r="AW113" s="76"/>
      <c r="AX113" s="76"/>
      <c r="AY113" s="76"/>
      <c r="AZ113" s="76"/>
      <c r="BA113" s="76"/>
      <c r="BB113" s="76"/>
      <c r="BC113" s="76"/>
      <c r="BD113" s="76"/>
      <c r="BE113" s="76"/>
      <c r="BG113" s="76"/>
      <c r="BH113" s="76"/>
      <c r="BI113" s="76"/>
      <c r="BJ113" s="76"/>
      <c r="BK113" s="76"/>
      <c r="BL113" s="76"/>
      <c r="BM113" s="76"/>
    </row>
    <row r="114" spans="41:65">
      <c r="AO114" s="76"/>
      <c r="AP114" s="76"/>
      <c r="AQ114" s="76"/>
      <c r="AR114" s="76"/>
      <c r="AS114" s="76"/>
      <c r="AT114" s="76"/>
      <c r="AU114" s="76"/>
      <c r="AV114" s="76"/>
      <c r="AW114" s="76"/>
      <c r="AX114" s="76"/>
      <c r="AY114" s="76"/>
      <c r="AZ114" s="76"/>
      <c r="BA114" s="76"/>
      <c r="BB114" s="76"/>
      <c r="BC114" s="76"/>
      <c r="BD114" s="76"/>
      <c r="BE114" s="76"/>
      <c r="BG114" s="76"/>
      <c r="BH114" s="76"/>
      <c r="BI114" s="76"/>
      <c r="BJ114" s="76"/>
      <c r="BK114" s="76"/>
      <c r="BL114" s="76"/>
      <c r="BM114" s="76"/>
    </row>
    <row r="115" spans="41:65">
      <c r="AO115" s="76"/>
      <c r="AP115" s="76"/>
      <c r="AQ115" s="76"/>
      <c r="AR115" s="76"/>
      <c r="AS115" s="76"/>
      <c r="AT115" s="76"/>
      <c r="AU115" s="76"/>
      <c r="AV115" s="76"/>
      <c r="AW115" s="76"/>
      <c r="AX115" s="76"/>
      <c r="AY115" s="76"/>
      <c r="AZ115" s="76"/>
      <c r="BA115" s="76"/>
      <c r="BB115" s="76"/>
      <c r="BC115" s="76"/>
      <c r="BD115" s="76"/>
      <c r="BE115" s="76"/>
      <c r="BG115" s="76"/>
      <c r="BH115" s="76"/>
      <c r="BI115" s="76"/>
      <c r="BJ115" s="76"/>
      <c r="BK115" s="76"/>
      <c r="BL115" s="76"/>
      <c r="BM115" s="76"/>
    </row>
    <row r="116" spans="41:65">
      <c r="AO116" s="76"/>
      <c r="AP116" s="76"/>
      <c r="AQ116" s="76"/>
      <c r="AR116" s="76"/>
      <c r="AS116" s="76"/>
      <c r="AT116" s="76"/>
      <c r="AU116" s="76"/>
      <c r="AV116" s="76"/>
      <c r="AW116" s="76"/>
      <c r="AX116" s="76"/>
      <c r="AY116" s="76"/>
      <c r="AZ116" s="76"/>
      <c r="BA116" s="76"/>
      <c r="BB116" s="76"/>
      <c r="BC116" s="76"/>
      <c r="BD116" s="76"/>
      <c r="BE116" s="76"/>
      <c r="BG116" s="76"/>
      <c r="BH116" s="76"/>
      <c r="BI116" s="76"/>
      <c r="BJ116" s="76"/>
      <c r="BK116" s="76"/>
      <c r="BL116" s="76"/>
      <c r="BM116" s="76"/>
    </row>
    <row r="117" spans="41:65">
      <c r="AO117" s="76"/>
      <c r="AP117" s="76"/>
      <c r="AQ117" s="76"/>
      <c r="AR117" s="76"/>
      <c r="AS117" s="76"/>
      <c r="AT117" s="76"/>
      <c r="AU117" s="76"/>
      <c r="AV117" s="76"/>
      <c r="AW117" s="76"/>
      <c r="AX117" s="76"/>
      <c r="AY117" s="76"/>
      <c r="AZ117" s="76"/>
      <c r="BA117" s="76"/>
      <c r="BB117" s="76"/>
      <c r="BC117" s="76"/>
      <c r="BD117" s="76"/>
      <c r="BE117" s="76"/>
      <c r="BG117" s="76"/>
      <c r="BH117" s="76"/>
      <c r="BI117" s="76"/>
      <c r="BJ117" s="76"/>
      <c r="BK117" s="76"/>
      <c r="BL117" s="76"/>
      <c r="BM117" s="76"/>
    </row>
    <row r="118" spans="41:65">
      <c r="AO118" s="76"/>
      <c r="AP118" s="76"/>
      <c r="AQ118" s="76"/>
      <c r="AR118" s="76"/>
      <c r="AS118" s="76"/>
      <c r="AT118" s="76"/>
      <c r="AU118" s="76"/>
      <c r="AV118" s="76"/>
      <c r="AW118" s="76"/>
      <c r="AX118" s="76"/>
      <c r="AY118" s="76"/>
      <c r="AZ118" s="76"/>
      <c r="BA118" s="76"/>
      <c r="BB118" s="76"/>
      <c r="BC118" s="76"/>
      <c r="BD118" s="76"/>
      <c r="BE118" s="76"/>
      <c r="BG118" s="76"/>
      <c r="BH118" s="76"/>
      <c r="BI118" s="76"/>
      <c r="BJ118" s="76"/>
      <c r="BK118" s="76"/>
      <c r="BL118" s="76"/>
      <c r="BM118" s="76"/>
    </row>
    <row r="119" spans="41:65">
      <c r="AO119" s="76"/>
      <c r="AP119" s="76"/>
      <c r="AQ119" s="76"/>
      <c r="AR119" s="76"/>
      <c r="AS119" s="76"/>
      <c r="AT119" s="76"/>
      <c r="AU119" s="76"/>
      <c r="AV119" s="76"/>
      <c r="AW119" s="76"/>
      <c r="AX119" s="76"/>
      <c r="AY119" s="76"/>
      <c r="AZ119" s="76"/>
      <c r="BA119" s="76"/>
      <c r="BB119" s="76"/>
      <c r="BC119" s="76"/>
      <c r="BD119" s="76"/>
      <c r="BE119" s="76"/>
      <c r="BG119" s="76"/>
      <c r="BH119" s="76"/>
      <c r="BI119" s="76"/>
      <c r="BJ119" s="76"/>
      <c r="BK119" s="76"/>
      <c r="BL119" s="76"/>
      <c r="BM119" s="76"/>
    </row>
    <row r="120" spans="41:65">
      <c r="AO120" s="76"/>
      <c r="AP120" s="76"/>
      <c r="AQ120" s="76"/>
      <c r="AR120" s="76"/>
      <c r="AS120" s="76"/>
      <c r="AT120" s="76"/>
      <c r="AU120" s="76"/>
      <c r="AV120" s="76"/>
      <c r="AW120" s="76"/>
      <c r="AX120" s="76"/>
      <c r="AY120" s="76"/>
      <c r="AZ120" s="76"/>
      <c r="BA120" s="76"/>
      <c r="BB120" s="76"/>
      <c r="BC120" s="76"/>
      <c r="BD120" s="76"/>
      <c r="BE120" s="76"/>
      <c r="BG120" s="76"/>
      <c r="BH120" s="76"/>
      <c r="BI120" s="76"/>
      <c r="BJ120" s="76"/>
      <c r="BK120" s="76"/>
      <c r="BL120" s="76"/>
      <c r="BM120" s="76"/>
    </row>
    <row r="121" spans="41:65">
      <c r="AO121" s="76"/>
      <c r="AP121" s="76"/>
      <c r="AQ121" s="76"/>
      <c r="AR121" s="76"/>
      <c r="AS121" s="76"/>
      <c r="AT121" s="76"/>
      <c r="AU121" s="76"/>
      <c r="AV121" s="76"/>
      <c r="AW121" s="76"/>
      <c r="AX121" s="76"/>
      <c r="AY121" s="76"/>
      <c r="AZ121" s="76"/>
      <c r="BA121" s="76"/>
      <c r="BB121" s="76"/>
      <c r="BC121" s="76"/>
      <c r="BD121" s="76"/>
      <c r="BE121" s="76"/>
      <c r="BG121" s="76"/>
      <c r="BH121" s="76"/>
      <c r="BI121" s="76"/>
      <c r="BJ121" s="76"/>
      <c r="BK121" s="76"/>
      <c r="BL121" s="76"/>
      <c r="BM121" s="76"/>
    </row>
    <row r="122" spans="41:65">
      <c r="AO122" s="76"/>
      <c r="AP122" s="76"/>
      <c r="AQ122" s="76"/>
      <c r="AR122" s="76"/>
      <c r="AS122" s="76"/>
      <c r="AT122" s="76"/>
      <c r="AU122" s="76"/>
      <c r="AV122" s="76"/>
      <c r="AW122" s="76"/>
      <c r="AX122" s="76"/>
      <c r="AY122" s="76"/>
      <c r="AZ122" s="76"/>
      <c r="BA122" s="76"/>
      <c r="BB122" s="76"/>
      <c r="BC122" s="76"/>
      <c r="BD122" s="76"/>
      <c r="BE122" s="76"/>
      <c r="BG122" s="76"/>
      <c r="BH122" s="76"/>
      <c r="BI122" s="76"/>
      <c r="BJ122" s="76"/>
      <c r="BK122" s="76"/>
      <c r="BL122" s="76"/>
      <c r="BM122" s="76"/>
    </row>
    <row r="123" spans="41:65">
      <c r="AO123" s="76"/>
      <c r="AP123" s="76"/>
      <c r="AQ123" s="76"/>
      <c r="AR123" s="76"/>
      <c r="AS123" s="76"/>
      <c r="AT123" s="76"/>
      <c r="AU123" s="76"/>
      <c r="AV123" s="76"/>
      <c r="AW123" s="76"/>
      <c r="AX123" s="76"/>
      <c r="AY123" s="76"/>
      <c r="AZ123" s="76"/>
      <c r="BA123" s="76"/>
      <c r="BB123" s="76"/>
      <c r="BC123" s="76"/>
      <c r="BD123" s="76"/>
      <c r="BE123" s="76"/>
      <c r="BG123" s="76"/>
      <c r="BH123" s="76"/>
      <c r="BI123" s="76"/>
      <c r="BJ123" s="76"/>
      <c r="BK123" s="76"/>
      <c r="BL123" s="76"/>
      <c r="BM123" s="76"/>
    </row>
    <row r="124" spans="41:65">
      <c r="AO124" s="76"/>
      <c r="AP124" s="76"/>
      <c r="AQ124" s="76"/>
      <c r="AR124" s="76"/>
      <c r="AS124" s="76"/>
      <c r="AT124" s="76"/>
      <c r="AU124" s="76"/>
      <c r="AV124" s="76"/>
      <c r="AW124" s="76"/>
      <c r="AX124" s="76"/>
      <c r="AY124" s="76"/>
      <c r="AZ124" s="76"/>
      <c r="BA124" s="76"/>
      <c r="BB124" s="76"/>
      <c r="BC124" s="76"/>
      <c r="BD124" s="76"/>
      <c r="BE124" s="76"/>
      <c r="BG124" s="76"/>
      <c r="BH124" s="76"/>
      <c r="BI124" s="76"/>
      <c r="BJ124" s="76"/>
      <c r="BK124" s="76"/>
      <c r="BL124" s="76"/>
      <c r="BM124" s="76"/>
    </row>
    <row r="125" spans="41:65">
      <c r="AO125" s="76"/>
      <c r="AP125" s="76"/>
      <c r="AQ125" s="76"/>
      <c r="AR125" s="76"/>
      <c r="AS125" s="76"/>
      <c r="AT125" s="76"/>
      <c r="AU125" s="76"/>
      <c r="AV125" s="76"/>
      <c r="AW125" s="76"/>
      <c r="AX125" s="76"/>
      <c r="AY125" s="76"/>
      <c r="AZ125" s="76"/>
      <c r="BA125" s="76"/>
      <c r="BB125" s="76"/>
      <c r="BC125" s="76"/>
      <c r="BD125" s="76"/>
      <c r="BE125" s="76"/>
      <c r="BG125" s="76"/>
      <c r="BH125" s="76"/>
      <c r="BI125" s="76"/>
      <c r="BJ125" s="76"/>
      <c r="BK125" s="76"/>
      <c r="BL125" s="76"/>
      <c r="BM125" s="76"/>
    </row>
    <row r="126" spans="41:65">
      <c r="AO126" s="76"/>
      <c r="AP126" s="76"/>
      <c r="AQ126" s="76"/>
      <c r="AR126" s="76"/>
      <c r="AS126" s="76"/>
      <c r="AT126" s="76"/>
      <c r="AU126" s="76"/>
      <c r="AV126" s="76"/>
      <c r="AW126" s="76"/>
      <c r="AX126" s="76"/>
      <c r="AY126" s="76"/>
      <c r="AZ126" s="76"/>
      <c r="BA126" s="76"/>
      <c r="BB126" s="76"/>
      <c r="BC126" s="76"/>
      <c r="BD126" s="76"/>
      <c r="BE126" s="76"/>
      <c r="BG126" s="76"/>
      <c r="BH126" s="76"/>
      <c r="BI126" s="76"/>
      <c r="BJ126" s="76"/>
      <c r="BK126" s="76"/>
      <c r="BL126" s="76"/>
      <c r="BM126" s="76"/>
    </row>
  </sheetData>
  <dataConsolidate/>
  <mergeCells count="1">
    <mergeCell ref="AO24:BM24"/>
  </mergeCells>
  <dataValidations count="28">
    <dataValidation type="list" allowBlank="1" showInputMessage="1" showErrorMessage="1" sqref="K95" xr:uid="{00000000-0002-0000-0800-000000000000}">
      <formula1>$K$2:$K$8</formula1>
    </dataValidation>
    <dataValidation type="list" allowBlank="1" showInputMessage="1" showErrorMessage="1" sqref="L95" xr:uid="{00000000-0002-0000-0800-000001000000}">
      <formula1>$L$2:$L$5</formula1>
    </dataValidation>
    <dataValidation type="list" allowBlank="1" showInputMessage="1" showErrorMessage="1" sqref="J95" xr:uid="{00000000-0002-0000-0800-000002000000}">
      <formula1>$J$2:$J$14</formula1>
    </dataValidation>
    <dataValidation type="list" allowBlank="1" showInputMessage="1" showErrorMessage="1" sqref="AA88:AA89 AA95" xr:uid="{00000000-0002-0000-0800-000003000000}">
      <formula1>$AA$2:$AA$5</formula1>
    </dataValidation>
    <dataValidation type="list" allowBlank="1" showInputMessage="1" showErrorMessage="1" sqref="W88:W89" xr:uid="{00000000-0002-0000-0800-000004000000}">
      <formula1>$W$2:$W$7</formula1>
    </dataValidation>
    <dataValidation type="list" allowBlank="1" showInputMessage="1" showErrorMessage="1" sqref="X88:X89" xr:uid="{00000000-0002-0000-0800-000005000000}">
      <formula1>$X$2:$X$7</formula1>
    </dataValidation>
    <dataValidation type="list" allowBlank="1" showInputMessage="1" showErrorMessage="1" sqref="Z88:Z89" xr:uid="{00000000-0002-0000-0800-000006000000}">
      <formula1>$Z$2:$Z$6</formula1>
    </dataValidation>
    <dataValidation type="list" allowBlank="1" showInputMessage="1" showErrorMessage="1" sqref="V82:V84 V88:V89 V95" xr:uid="{00000000-0002-0000-0800-00000A000000}">
      <formula1>$V$2:$V$4</formula1>
    </dataValidation>
    <dataValidation type="list" allowBlank="1" showInputMessage="1" showErrorMessage="1" sqref="Y95:Y96 Y85:Y89 Y57:Y60" xr:uid="{00000000-0002-0000-0800-00000B000000}">
      <formula1>$Y$2:$Y$7</formula1>
    </dataValidation>
    <dataValidation type="list" allowBlank="1" showInputMessage="1" showErrorMessage="1" sqref="AA85:AA87 AA57:AA60" xr:uid="{00000000-0002-0000-0800-00000C000000}">
      <formula1>$AA$2:$AA$6</formula1>
    </dataValidation>
    <dataValidation type="list" allowBlank="1" showInputMessage="1" showErrorMessage="1" sqref="Z85:Z87 Z57:Z60" xr:uid="{00000000-0002-0000-0800-000010000000}">
      <formula1>$Z$2:$Z$7</formula1>
    </dataValidation>
    <dataValidation type="list" allowBlank="1" showInputMessage="1" showErrorMessage="1" sqref="W85:W87 W57:W60" xr:uid="{00000000-0002-0000-0800-000011000000}">
      <formula1>$W$2:$W$9</formula1>
    </dataValidation>
    <dataValidation type="list" allowBlank="1" showInputMessage="1" showErrorMessage="1" sqref="X85:X87 X57:X60" xr:uid="{00000000-0002-0000-0800-000012000000}">
      <formula1>$X$2:$X$9</formula1>
    </dataValidation>
    <dataValidation type="list" allowBlank="1" showInputMessage="1" showErrorMessage="1" sqref="V85:V87 V90:V94 V26:V81" xr:uid="{00000000-0002-0000-0800-000013000000}">
      <formula1>$V$2:$V$5</formula1>
    </dataValidation>
    <dataValidation type="list" allowBlank="1" showInputMessage="1" showErrorMessage="1" sqref="I95" xr:uid="{00000000-0002-0000-0800-000014000000}">
      <formula1>$I$2:$I$7</formula1>
    </dataValidation>
    <dataValidation type="list" allowBlank="1" showInputMessage="1" showErrorMessage="1" sqref="D26:D95 E95" xr:uid="{00000000-0002-0000-0800-000015000000}">
      <formula1>$D$2:$D$6</formula1>
    </dataValidation>
    <dataValidation type="list" allowBlank="1" showInputMessage="1" showErrorMessage="1" sqref="F27:F95" xr:uid="{00000000-0002-0000-0800-000016000000}">
      <formula1>$F$2:$F$7</formula1>
    </dataValidation>
    <dataValidation type="list" allowBlank="1" showInputMessage="1" showErrorMessage="1" sqref="W90:W94 W26:W56 W61:W84" xr:uid="{00000000-0002-0000-0800-000017000000}">
      <formula1>$W$2:$W$10</formula1>
    </dataValidation>
    <dataValidation type="list" allowBlank="1" showInputMessage="1" showErrorMessage="1" sqref="X90:X94 X26:X56 X61:X84" xr:uid="{00000000-0002-0000-0800-000018000000}">
      <formula1>$X$2:$X$10</formula1>
    </dataValidation>
    <dataValidation type="list" allowBlank="1" showInputMessage="1" showErrorMessage="1" sqref="Y90:Y94 Y26:Y56 Y61:Y84" xr:uid="{00000000-0002-0000-0800-000019000000}">
      <formula1>$Y$2:$Y$6</formula1>
    </dataValidation>
    <dataValidation type="list" allowBlank="1" showInputMessage="1" showErrorMessage="1" sqref="Z90:Z94 Z26:Z56 Z61:Z84" xr:uid="{00000000-0002-0000-0800-00001A000000}">
      <formula1>$Z$2:$Z$8</formula1>
    </dataValidation>
    <dataValidation type="list" allowBlank="1" showInputMessage="1" showErrorMessage="1" sqref="AA90:AA94 AA26:AA56 AA61:AA84" xr:uid="{00000000-0002-0000-0800-00001B000000}">
      <formula1>$AA$2:$AA$7</formula1>
    </dataValidation>
    <dataValidation type="list" allowBlank="1" showInputMessage="1" showErrorMessage="1" sqref="E2:E3 E26:E94" xr:uid="{EAB2B8D8-E9B9-4136-94AD-F14329249526}">
      <formula1>$E$2:$E$3</formula1>
    </dataValidation>
    <dataValidation type="list" allowBlank="1" showInputMessage="1" showErrorMessage="1" sqref="F26" xr:uid="{FF8E40BE-4FF8-4750-AC73-7B4D3422D90C}">
      <formula1>$F$2:$F$9</formula1>
    </dataValidation>
    <dataValidation type="list" allowBlank="1" showInputMessage="1" showErrorMessage="1" sqref="I26:I94" xr:uid="{0EA7CF21-E40A-4EDD-8E98-7A3E16987273}">
      <formula1>$I$2:$I$10</formula1>
    </dataValidation>
    <dataValidation type="list" allowBlank="1" showInputMessage="1" showErrorMessage="1" sqref="J26:J94" xr:uid="{8116C48B-3F98-45E0-A9A9-157885141252}">
      <formula1>$J$2:$J$18</formula1>
    </dataValidation>
    <dataValidation type="list" allowBlank="1" showInputMessage="1" showErrorMessage="1" sqref="K26:K94" xr:uid="{793653F9-2C02-4B5B-A85D-74108A675E79}">
      <formula1>$K$2:$K$18</formula1>
    </dataValidation>
    <dataValidation type="list" allowBlank="1" showInputMessage="1" showErrorMessage="1" sqref="L26:L94" xr:uid="{40FA1632-5FF9-4E7A-8923-200E15A5E393}">
      <formula1>$L$2:$L$18</formula1>
    </dataValidation>
  </dataValidations>
  <printOptions horizontalCentered="1"/>
  <pageMargins left="0.2" right="0.2" top="0.26" bottom="0.26" header="0.17" footer="0.17"/>
  <pageSetup paperSize="5" scale="55" orientation="landscape" r:id="rId1"/>
  <headerFooter>
    <oddFooter>&amp;R&amp;P of &amp;N</oddFooter>
  </headerFooter>
  <colBreaks count="1" manualBreakCount="1">
    <brk id="40"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1D62C-EB30-40D9-8B9B-F36550E7788F}">
  <sheetPr>
    <tabColor rgb="FFFF0000"/>
  </sheetPr>
  <dimension ref="A1:AR39"/>
  <sheetViews>
    <sheetView workbookViewId="0">
      <pane xSplit="3" ySplit="2" topLeftCell="D3" activePane="bottomRight" state="frozen"/>
      <selection pane="topRight" activeCell="D1" sqref="D1"/>
      <selection pane="bottomLeft" activeCell="A3" sqref="A3"/>
      <selection pane="bottomRight" activeCell="O8" sqref="O8"/>
    </sheetView>
  </sheetViews>
  <sheetFormatPr baseColWidth="10" defaultColWidth="9.1640625" defaultRowHeight="15"/>
  <cols>
    <col min="1" max="1" width="32.5" style="2" customWidth="1"/>
    <col min="2" max="2" width="6" style="2" customWidth="1"/>
    <col min="3" max="3" width="2.1640625" style="2" customWidth="1"/>
    <col min="4" max="4" width="1.6640625" style="2" customWidth="1"/>
    <col min="5" max="5" width="13.5" style="2" customWidth="1"/>
    <col min="6" max="6" width="11.5" style="2" customWidth="1"/>
    <col min="7" max="7" width="14.5" style="2" customWidth="1"/>
    <col min="8" max="8" width="14" style="2" customWidth="1"/>
    <col min="9" max="9" width="14.83203125" style="2" customWidth="1"/>
    <col min="10" max="10" width="1.6640625" style="2" customWidth="1"/>
    <col min="11" max="11" width="13.5" style="2" customWidth="1"/>
    <col min="12" max="12" width="11.5" style="2" customWidth="1"/>
    <col min="13" max="13" width="14.5" style="2" customWidth="1"/>
    <col min="14" max="14" width="14" style="2" customWidth="1"/>
    <col min="15" max="15" width="15.5" style="2" customWidth="1"/>
    <col min="16" max="16" width="1.6640625" style="2" customWidth="1"/>
    <col min="17" max="17" width="13.5" style="2" bestFit="1" customWidth="1"/>
    <col min="18" max="18" width="11.5" style="2" bestFit="1" customWidth="1"/>
    <col min="19" max="19" width="14.5" style="2" bestFit="1" customWidth="1"/>
    <col min="20" max="21" width="14" style="2" bestFit="1" customWidth="1"/>
    <col min="22" max="22" width="1.6640625" style="2" customWidth="1"/>
    <col min="23" max="16384" width="9.1640625" style="2"/>
  </cols>
  <sheetData>
    <row r="1" spans="1:42" ht="16" thickBot="1">
      <c r="A1" s="497"/>
      <c r="B1" s="701"/>
      <c r="C1" s="701"/>
      <c r="D1" s="701"/>
      <c r="E1" s="758" t="s">
        <v>919</v>
      </c>
      <c r="F1" s="758"/>
      <c r="G1" s="758"/>
      <c r="H1" s="758"/>
      <c r="I1" s="758"/>
      <c r="J1" s="701"/>
      <c r="K1" s="758" t="s">
        <v>918</v>
      </c>
      <c r="L1" s="758"/>
      <c r="M1" s="758"/>
      <c r="N1" s="758"/>
      <c r="O1" s="758"/>
      <c r="P1" s="701"/>
      <c r="Q1" s="758" t="s">
        <v>920</v>
      </c>
      <c r="R1" s="758"/>
      <c r="S1" s="758"/>
      <c r="T1" s="758"/>
      <c r="U1" s="759"/>
    </row>
    <row r="2" spans="1:42" s="697" customFormat="1">
      <c r="A2" s="702"/>
      <c r="B2" s="703"/>
      <c r="C2" s="703"/>
      <c r="D2" s="703"/>
      <c r="E2" s="704" t="s">
        <v>112</v>
      </c>
      <c r="F2" s="705" t="s">
        <v>917</v>
      </c>
      <c r="G2" s="704" t="s">
        <v>916</v>
      </c>
      <c r="H2" s="705" t="s">
        <v>915</v>
      </c>
      <c r="I2" s="704" t="s">
        <v>914</v>
      </c>
      <c r="J2" s="703"/>
      <c r="K2" s="704" t="s">
        <v>112</v>
      </c>
      <c r="L2" s="705" t="s">
        <v>917</v>
      </c>
      <c r="M2" s="704" t="s">
        <v>916</v>
      </c>
      <c r="N2" s="705" t="s">
        <v>915</v>
      </c>
      <c r="O2" s="704" t="s">
        <v>914</v>
      </c>
      <c r="P2" s="703"/>
      <c r="Q2" s="704" t="s">
        <v>112</v>
      </c>
      <c r="R2" s="705" t="s">
        <v>917</v>
      </c>
      <c r="S2" s="704" t="s">
        <v>916</v>
      </c>
      <c r="T2" s="705" t="s">
        <v>915</v>
      </c>
      <c r="U2" s="706" t="s">
        <v>914</v>
      </c>
    </row>
    <row r="3" spans="1:42" s="696" customFormat="1">
      <c r="A3" s="707" t="s">
        <v>913</v>
      </c>
      <c r="B3" s="708"/>
      <c r="C3" s="708"/>
      <c r="D3" s="708"/>
      <c r="E3" s="708"/>
      <c r="F3" s="709"/>
      <c r="G3" s="708"/>
      <c r="H3" s="709"/>
      <c r="I3" s="708"/>
      <c r="J3" s="708"/>
      <c r="K3" s="708"/>
      <c r="L3" s="709"/>
      <c r="M3" s="708"/>
      <c r="N3" s="709"/>
      <c r="O3" s="708"/>
      <c r="P3" s="708"/>
      <c r="Q3" s="708"/>
      <c r="R3" s="709"/>
      <c r="S3" s="708"/>
      <c r="T3" s="709"/>
      <c r="U3" s="710"/>
      <c r="V3" s="692"/>
      <c r="W3" s="692"/>
      <c r="X3" s="692"/>
      <c r="Y3" s="692"/>
      <c r="Z3" s="692"/>
      <c r="AA3" s="692"/>
      <c r="AB3" s="692"/>
      <c r="AC3" s="692"/>
      <c r="AD3" s="692"/>
      <c r="AE3" s="692"/>
      <c r="AF3" s="692"/>
      <c r="AG3" s="692"/>
      <c r="AH3" s="692"/>
      <c r="AI3" s="692"/>
      <c r="AJ3" s="692"/>
      <c r="AK3" s="692"/>
      <c r="AL3" s="692"/>
      <c r="AM3" s="692"/>
      <c r="AN3" s="692"/>
      <c r="AO3" s="692"/>
      <c r="AP3" s="692"/>
    </row>
    <row r="4" spans="1:42">
      <c r="A4" s="493" t="s">
        <v>912</v>
      </c>
      <c r="B4" s="5"/>
      <c r="C4" s="5"/>
      <c r="D4" s="5"/>
      <c r="E4" s="76"/>
      <c r="F4" s="76"/>
      <c r="G4" s="76"/>
      <c r="H4" s="76"/>
      <c r="I4" s="695">
        <v>735599.36</v>
      </c>
      <c r="J4" s="76"/>
      <c r="K4" s="76"/>
      <c r="L4" s="76"/>
      <c r="M4" s="76"/>
      <c r="N4" s="76"/>
      <c r="O4" s="695">
        <v>809578.22000000009</v>
      </c>
      <c r="P4" s="76"/>
      <c r="Q4" s="76"/>
      <c r="R4" s="76"/>
      <c r="S4" s="76"/>
      <c r="T4" s="76"/>
      <c r="U4" s="711">
        <v>0</v>
      </c>
      <c r="V4" s="632"/>
      <c r="W4" s="632"/>
      <c r="X4" s="632"/>
    </row>
    <row r="5" spans="1:42">
      <c r="A5" s="493" t="s">
        <v>911</v>
      </c>
      <c r="B5" s="5"/>
      <c r="C5" s="5"/>
      <c r="D5" s="5"/>
      <c r="E5" s="76"/>
      <c r="F5" s="76"/>
      <c r="G5" s="76"/>
      <c r="H5" s="76"/>
      <c r="I5" s="695">
        <v>43271.62</v>
      </c>
      <c r="J5" s="76"/>
      <c r="K5" s="76"/>
      <c r="L5" s="76"/>
      <c r="M5" s="76"/>
      <c r="N5" s="76"/>
      <c r="O5" s="695">
        <v>62104.800000000003</v>
      </c>
      <c r="P5" s="76"/>
      <c r="Q5" s="76"/>
      <c r="R5" s="76"/>
      <c r="S5" s="76"/>
      <c r="T5" s="76"/>
      <c r="U5" s="711">
        <v>0</v>
      </c>
      <c r="V5" s="632"/>
      <c r="W5" s="632"/>
      <c r="X5" s="632"/>
    </row>
    <row r="6" spans="1:42" hidden="1">
      <c r="A6" s="493" t="s">
        <v>910</v>
      </c>
      <c r="B6" s="5"/>
      <c r="C6" s="5"/>
      <c r="D6" s="5"/>
      <c r="E6" s="76"/>
      <c r="F6" s="76"/>
      <c r="G6" s="76"/>
      <c r="H6" s="76"/>
      <c r="I6" s="695">
        <v>1842423.4</v>
      </c>
      <c r="J6" s="76"/>
      <c r="K6" s="76"/>
      <c r="L6" s="76"/>
      <c r="M6" s="76"/>
      <c r="N6" s="76"/>
      <c r="O6" s="695">
        <v>1426757.45</v>
      </c>
      <c r="P6" s="76"/>
      <c r="Q6" s="76"/>
      <c r="R6" s="76"/>
      <c r="S6" s="76"/>
      <c r="T6" s="76"/>
      <c r="U6" s="711"/>
      <c r="V6" s="632"/>
      <c r="W6" s="632"/>
      <c r="X6" s="632"/>
    </row>
    <row r="7" spans="1:42">
      <c r="A7" s="712" t="s">
        <v>909</v>
      </c>
      <c r="B7" s="698"/>
      <c r="C7" s="698"/>
      <c r="D7" s="698"/>
      <c r="E7" s="699"/>
      <c r="F7" s="699"/>
      <c r="G7" s="699"/>
      <c r="H7" s="699"/>
      <c r="I7" s="700">
        <f>Detail!BJ57</f>
        <v>4959785.875</v>
      </c>
      <c r="J7" s="699"/>
      <c r="K7" s="699"/>
      <c r="L7" s="699"/>
      <c r="M7" s="699"/>
      <c r="N7" s="699"/>
      <c r="O7" s="700">
        <f>Detail!BK57</f>
        <v>2815393.75</v>
      </c>
      <c r="P7" s="699"/>
      <c r="Q7" s="699"/>
      <c r="R7" s="699"/>
      <c r="S7" s="699"/>
      <c r="T7" s="699"/>
      <c r="U7" s="713">
        <f>Detail!BL57</f>
        <v>1734325</v>
      </c>
      <c r="V7" s="632"/>
      <c r="W7" s="632"/>
      <c r="X7" s="632"/>
    </row>
    <row r="8" spans="1:42">
      <c r="A8" s="493" t="s">
        <v>908</v>
      </c>
      <c r="B8" s="5"/>
      <c r="C8" s="5"/>
      <c r="D8" s="5"/>
      <c r="E8" s="76"/>
      <c r="F8" s="76"/>
      <c r="G8" s="76"/>
      <c r="H8" s="76"/>
      <c r="I8" s="714" t="s">
        <v>67</v>
      </c>
      <c r="J8" s="714"/>
      <c r="K8" s="714"/>
      <c r="L8" s="714"/>
      <c r="M8" s="714"/>
      <c r="N8" s="714"/>
      <c r="O8" s="714" t="s">
        <v>67</v>
      </c>
      <c r="P8" s="76"/>
      <c r="Q8" s="76"/>
      <c r="R8" s="76"/>
      <c r="S8" s="76"/>
      <c r="T8" s="76"/>
      <c r="U8" s="715">
        <v>0</v>
      </c>
      <c r="V8" s="632"/>
      <c r="W8" s="632"/>
      <c r="X8" s="632"/>
    </row>
    <row r="9" spans="1:42" ht="18.75" customHeight="1">
      <c r="A9" s="493"/>
      <c r="B9" s="5"/>
      <c r="C9" s="5"/>
      <c r="D9" s="5"/>
      <c r="E9" s="76"/>
      <c r="F9" s="76"/>
      <c r="G9" s="76"/>
      <c r="H9" s="76"/>
      <c r="I9" s="76"/>
      <c r="J9" s="76"/>
      <c r="K9" s="76"/>
      <c r="L9" s="76"/>
      <c r="M9" s="76"/>
      <c r="N9" s="76"/>
      <c r="O9" s="695"/>
      <c r="P9" s="76"/>
      <c r="Q9" s="76"/>
      <c r="R9" s="76"/>
      <c r="S9" s="76"/>
      <c r="T9" s="76"/>
      <c r="U9" s="711"/>
      <c r="V9" s="632"/>
      <c r="W9" s="632"/>
      <c r="X9" s="632"/>
    </row>
    <row r="10" spans="1:42" s="694" customFormat="1">
      <c r="A10" s="716" t="s">
        <v>907</v>
      </c>
      <c r="B10" s="717"/>
      <c r="C10" s="717"/>
      <c r="D10" s="717"/>
      <c r="E10" s="718"/>
      <c r="F10" s="718"/>
      <c r="G10" s="718"/>
      <c r="H10" s="718"/>
      <c r="I10" s="718">
        <f>SUM(I4:I6)</f>
        <v>2621294.38</v>
      </c>
      <c r="J10" s="718"/>
      <c r="K10" s="718"/>
      <c r="L10" s="718"/>
      <c r="M10" s="718"/>
      <c r="N10" s="718"/>
      <c r="O10" s="718">
        <f>SUM(O4:O6)</f>
        <v>2298440.4700000002</v>
      </c>
      <c r="P10" s="718"/>
      <c r="Q10" s="718"/>
      <c r="R10" s="718"/>
      <c r="S10" s="718"/>
      <c r="T10" s="718"/>
      <c r="U10" s="719">
        <f>SUM(U4:U8)</f>
        <v>1734325</v>
      </c>
      <c r="V10" s="689"/>
      <c r="W10" s="689"/>
      <c r="X10" s="689"/>
      <c r="Y10" s="688"/>
      <c r="Z10" s="688"/>
      <c r="AA10" s="688"/>
      <c r="AB10" s="688"/>
      <c r="AC10" s="688"/>
      <c r="AD10" s="688"/>
      <c r="AE10" s="688"/>
      <c r="AF10" s="688"/>
      <c r="AG10" s="688"/>
      <c r="AH10" s="688"/>
      <c r="AI10" s="688"/>
      <c r="AJ10" s="688"/>
      <c r="AK10" s="688"/>
      <c r="AL10" s="688"/>
      <c r="AM10" s="688"/>
      <c r="AN10" s="688"/>
    </row>
    <row r="11" spans="1:42">
      <c r="A11" s="493"/>
      <c r="B11" s="5"/>
      <c r="C11" s="5"/>
      <c r="D11" s="5"/>
      <c r="E11" s="76"/>
      <c r="F11" s="76"/>
      <c r="G11" s="76"/>
      <c r="H11" s="76"/>
      <c r="I11" s="76"/>
      <c r="J11" s="76"/>
      <c r="K11" s="76"/>
      <c r="L11" s="76"/>
      <c r="M11" s="76"/>
      <c r="N11" s="76"/>
      <c r="O11" s="76"/>
      <c r="P11" s="76"/>
      <c r="Q11" s="76"/>
      <c r="R11" s="76"/>
      <c r="S11" s="76"/>
      <c r="T11" s="76"/>
      <c r="U11" s="720"/>
      <c r="V11" s="632"/>
      <c r="W11" s="632"/>
      <c r="X11" s="632"/>
    </row>
    <row r="12" spans="1:42" s="691" customFormat="1">
      <c r="A12" s="707" t="s">
        <v>906</v>
      </c>
      <c r="B12" s="708"/>
      <c r="C12" s="708"/>
      <c r="D12" s="708"/>
      <c r="E12" s="721"/>
      <c r="F12" s="721"/>
      <c r="G12" s="721"/>
      <c r="H12" s="721"/>
      <c r="I12" s="721"/>
      <c r="J12" s="721"/>
      <c r="K12" s="721"/>
      <c r="L12" s="721"/>
      <c r="M12" s="721"/>
      <c r="N12" s="721"/>
      <c r="O12" s="721"/>
      <c r="P12" s="721"/>
      <c r="Q12" s="721"/>
      <c r="R12" s="721"/>
      <c r="S12" s="721"/>
      <c r="T12" s="721"/>
      <c r="U12" s="722"/>
      <c r="V12" s="693"/>
      <c r="W12" s="693"/>
      <c r="X12" s="693"/>
      <c r="Y12" s="692"/>
      <c r="Z12" s="692"/>
      <c r="AA12" s="692"/>
      <c r="AB12" s="692"/>
      <c r="AC12" s="692"/>
      <c r="AD12" s="692"/>
      <c r="AE12" s="692"/>
      <c r="AF12" s="692"/>
      <c r="AG12" s="692"/>
      <c r="AH12" s="692"/>
      <c r="AI12" s="692"/>
      <c r="AJ12" s="692"/>
      <c r="AK12" s="692"/>
      <c r="AL12" s="671"/>
      <c r="AM12" s="671"/>
      <c r="AN12" s="671"/>
      <c r="AO12" s="671"/>
      <c r="AP12" s="671"/>
    </row>
    <row r="13" spans="1:42">
      <c r="A13" s="493" t="s">
        <v>905</v>
      </c>
      <c r="B13" s="5"/>
      <c r="C13" s="5"/>
      <c r="D13" s="723"/>
      <c r="E13" s="695">
        <f>'[9]Dept 002 Dev'!G15</f>
        <v>294269.49</v>
      </c>
      <c r="F13" s="695">
        <f>'[9]Dept 004 Assets'!G14</f>
        <v>412396.99000000005</v>
      </c>
      <c r="G13" s="695">
        <f>'[9]Dept 005 Mgmt'!G13</f>
        <v>324014.87</v>
      </c>
      <c r="H13" s="695">
        <v>193119.02</v>
      </c>
      <c r="I13" s="695">
        <f t="shared" ref="I13:I30" si="0">SUM(E13:H13)</f>
        <v>1223800.3699999999</v>
      </c>
      <c r="J13" s="695"/>
      <c r="K13" s="695">
        <f>'[9]Dept 002 Dev'!E15</f>
        <v>340834.2</v>
      </c>
      <c r="L13" s="695">
        <f>'[9]Dept 004 Assets'!E14</f>
        <v>481296.42000000004</v>
      </c>
      <c r="M13" s="695">
        <f>'[9]Dept 005 Mgmt'!E13</f>
        <v>388495.04999999993</v>
      </c>
      <c r="N13" s="695">
        <v>210177.52</v>
      </c>
      <c r="O13" s="695">
        <f t="shared" ref="O13:O30" si="1">SUM(K13:N13)</f>
        <v>1420803.19</v>
      </c>
      <c r="P13" s="695"/>
      <c r="Q13" s="695">
        <f>'[9]Dept 002 Dev'!K15</f>
        <v>304266.66000000003</v>
      </c>
      <c r="R13" s="695">
        <f>'[9]Dept 004 Assets'!K14</f>
        <v>594387.15</v>
      </c>
      <c r="S13" s="695">
        <f>'[9]Dept 005 Mgmt'!K13</f>
        <v>495944.1</v>
      </c>
      <c r="T13" s="695">
        <v>122021.06</v>
      </c>
      <c r="U13" s="711">
        <f t="shared" ref="U13:U30" si="2">SUM(Q13:T13)</f>
        <v>1516618.9700000002</v>
      </c>
      <c r="V13" s="683"/>
      <c r="W13" s="632"/>
      <c r="X13" s="632"/>
    </row>
    <row r="14" spans="1:42">
      <c r="A14" s="493" t="s">
        <v>904</v>
      </c>
      <c r="B14" s="5"/>
      <c r="C14" s="5"/>
      <c r="D14" s="723"/>
      <c r="E14" s="695">
        <f>'[9]Dept 002 Dev'!G23</f>
        <v>60320.78</v>
      </c>
      <c r="F14" s="695">
        <f>'[9]Dept 004 Assets'!G25</f>
        <v>208658.19</v>
      </c>
      <c r="G14" s="695">
        <f>'[9]Dept 005 Mgmt'!G24</f>
        <v>142863.53</v>
      </c>
      <c r="H14" s="695">
        <v>50867.990000000013</v>
      </c>
      <c r="I14" s="695">
        <f t="shared" si="0"/>
        <v>462710.49</v>
      </c>
      <c r="J14" s="695"/>
      <c r="K14" s="695">
        <f>'[9]Dept 002 Dev'!E23</f>
        <v>116005.68</v>
      </c>
      <c r="L14" s="695">
        <f>'[9]Dept 004 Assets'!E25</f>
        <v>231785.90999999997</v>
      </c>
      <c r="M14" s="695">
        <f>'[9]Dept 005 Mgmt'!E24</f>
        <v>148686.41</v>
      </c>
      <c r="N14" s="695">
        <v>46860.852400000003</v>
      </c>
      <c r="O14" s="695">
        <f t="shared" si="1"/>
        <v>543338.85239999997</v>
      </c>
      <c r="P14" s="695"/>
      <c r="Q14" s="695">
        <f>'[9]Dept 002 Dev'!K23</f>
        <v>75596.427694999991</v>
      </c>
      <c r="R14" s="695">
        <f>'[9]Dept 004 Assets'!K25</f>
        <v>182755.03916499999</v>
      </c>
      <c r="S14" s="695">
        <f>'[9]Dept 005 Mgmt'!K24</f>
        <v>142689.204195</v>
      </c>
      <c r="T14" s="695">
        <v>13847.42</v>
      </c>
      <c r="U14" s="711">
        <f t="shared" si="2"/>
        <v>414888.09105499997</v>
      </c>
      <c r="V14" s="683"/>
      <c r="W14" s="632"/>
      <c r="X14" s="632"/>
    </row>
    <row r="15" spans="1:42">
      <c r="A15" s="493"/>
      <c r="B15" s="5"/>
      <c r="C15" s="5"/>
      <c r="D15" s="723"/>
      <c r="E15" s="695"/>
      <c r="F15" s="695"/>
      <c r="G15" s="695"/>
      <c r="H15" s="695"/>
      <c r="I15" s="695">
        <f t="shared" si="0"/>
        <v>0</v>
      </c>
      <c r="J15" s="695"/>
      <c r="K15" s="695"/>
      <c r="L15" s="695"/>
      <c r="M15" s="695"/>
      <c r="N15" s="695"/>
      <c r="O15" s="695">
        <f t="shared" si="1"/>
        <v>0</v>
      </c>
      <c r="P15" s="695"/>
      <c r="Q15" s="695"/>
      <c r="R15" s="695"/>
      <c r="S15" s="695"/>
      <c r="T15" s="695"/>
      <c r="U15" s="711">
        <f t="shared" si="2"/>
        <v>0</v>
      </c>
      <c r="V15" s="683"/>
      <c r="W15" s="632"/>
      <c r="X15" s="632"/>
    </row>
    <row r="16" spans="1:42">
      <c r="A16" s="493" t="s">
        <v>903</v>
      </c>
      <c r="B16" s="5">
        <v>52000</v>
      </c>
      <c r="C16" s="5"/>
      <c r="D16" s="723"/>
      <c r="E16" s="695">
        <v>290.39</v>
      </c>
      <c r="F16" s="695">
        <v>24.96</v>
      </c>
      <c r="G16" s="695">
        <v>555.67999999999995</v>
      </c>
      <c r="H16" s="695"/>
      <c r="I16" s="695">
        <f t="shared" si="0"/>
        <v>871.03</v>
      </c>
      <c r="J16" s="695"/>
      <c r="K16" s="695">
        <v>5.7</v>
      </c>
      <c r="L16" s="695">
        <v>85.61</v>
      </c>
      <c r="M16" s="695">
        <v>69.63</v>
      </c>
      <c r="N16" s="695"/>
      <c r="O16" s="695">
        <f t="shared" si="1"/>
        <v>160.94</v>
      </c>
      <c r="P16" s="695"/>
      <c r="Q16" s="695"/>
      <c r="R16" s="695"/>
      <c r="S16" s="695">
        <f>'[9]Dept 005 Mgmt'!K26</f>
        <v>230.52705882352942</v>
      </c>
      <c r="T16" s="695"/>
      <c r="U16" s="711">
        <f t="shared" si="2"/>
        <v>230.52705882352942</v>
      </c>
      <c r="V16" s="683"/>
      <c r="W16" s="632"/>
      <c r="X16" s="632"/>
    </row>
    <row r="17" spans="1:30">
      <c r="A17" s="493" t="s">
        <v>902</v>
      </c>
      <c r="B17" s="5">
        <v>56000</v>
      </c>
      <c r="C17" s="5"/>
      <c r="D17" s="723"/>
      <c r="E17" s="695">
        <v>32015.91</v>
      </c>
      <c r="F17" s="695">
        <v>21671.33</v>
      </c>
      <c r="G17" s="695">
        <v>33390.379999999997</v>
      </c>
      <c r="H17" s="695">
        <v>19121.09</v>
      </c>
      <c r="I17" s="695">
        <f t="shared" si="0"/>
        <v>106198.70999999999</v>
      </c>
      <c r="J17" s="695"/>
      <c r="K17" s="695">
        <v>31655.38</v>
      </c>
      <c r="L17" s="695">
        <v>30930.19</v>
      </c>
      <c r="M17" s="695">
        <v>58497.79</v>
      </c>
      <c r="N17" s="695">
        <v>18597.48</v>
      </c>
      <c r="O17" s="695">
        <f t="shared" si="1"/>
        <v>139680.84</v>
      </c>
      <c r="P17" s="695"/>
      <c r="Q17" s="695">
        <f>'[9]Dept 002 Dev'!K26</f>
        <v>21879.416470588236</v>
      </c>
      <c r="R17" s="695">
        <f>'[9]Dept 004 Assets'!K29</f>
        <v>65718.677647058823</v>
      </c>
      <c r="S17" s="695">
        <f>'[9]Dept 005 Mgmt'!K27</f>
        <v>40353.924705882353</v>
      </c>
      <c r="T17" s="695">
        <v>5294.01</v>
      </c>
      <c r="U17" s="711">
        <f t="shared" si="2"/>
        <v>133246.02882352943</v>
      </c>
      <c r="V17" s="683"/>
      <c r="W17" s="632"/>
      <c r="X17" s="632"/>
    </row>
    <row r="18" spans="1:30">
      <c r="A18" s="493" t="s">
        <v>901</v>
      </c>
      <c r="B18" s="5">
        <v>57000</v>
      </c>
      <c r="C18" s="5"/>
      <c r="D18" s="723"/>
      <c r="E18" s="695">
        <v>3071.71</v>
      </c>
      <c r="F18" s="695">
        <v>2518.7800000000002</v>
      </c>
      <c r="G18" s="695">
        <v>9.91</v>
      </c>
      <c r="H18" s="695"/>
      <c r="I18" s="695">
        <f t="shared" si="0"/>
        <v>5600.4</v>
      </c>
      <c r="J18" s="695"/>
      <c r="K18" s="695">
        <v>2627.33</v>
      </c>
      <c r="L18" s="695">
        <v>1454.1</v>
      </c>
      <c r="M18" s="695">
        <v>80</v>
      </c>
      <c r="N18" s="695"/>
      <c r="O18" s="695">
        <f t="shared" si="1"/>
        <v>4161.43</v>
      </c>
      <c r="P18" s="695"/>
      <c r="Q18" s="695">
        <f>'[9]Dept 002 Dev'!K27</f>
        <v>533.64705882352939</v>
      </c>
      <c r="R18" s="695"/>
      <c r="S18" s="695"/>
      <c r="T18" s="695"/>
      <c r="U18" s="711">
        <f t="shared" si="2"/>
        <v>533.64705882352939</v>
      </c>
      <c r="V18" s="683"/>
      <c r="W18" s="632"/>
      <c r="X18" s="632"/>
    </row>
    <row r="19" spans="1:30">
      <c r="A19" s="493" t="s">
        <v>900</v>
      </c>
      <c r="B19" s="5">
        <v>58000</v>
      </c>
      <c r="C19" s="5"/>
      <c r="D19" s="723"/>
      <c r="E19" s="695"/>
      <c r="F19" s="695"/>
      <c r="G19" s="695"/>
      <c r="H19" s="695"/>
      <c r="I19" s="695">
        <f t="shared" si="0"/>
        <v>0</v>
      </c>
      <c r="J19" s="695"/>
      <c r="K19" s="695"/>
      <c r="L19" s="695"/>
      <c r="M19" s="695"/>
      <c r="N19" s="695"/>
      <c r="O19" s="695">
        <f t="shared" si="1"/>
        <v>0</v>
      </c>
      <c r="P19" s="695"/>
      <c r="Q19" s="695"/>
      <c r="R19" s="695">
        <f>'[9]Dept 004 Assets'!K31</f>
        <v>1405.8070588235294</v>
      </c>
      <c r="S19" s="695">
        <f>'[9]Dept 005 Mgmt'!K29</f>
        <v>210.35294117647061</v>
      </c>
      <c r="T19" s="695"/>
      <c r="U19" s="711">
        <f t="shared" si="2"/>
        <v>1616.1599999999999</v>
      </c>
      <c r="V19" s="683"/>
      <c r="W19" s="632"/>
      <c r="X19" s="632"/>
    </row>
    <row r="20" spans="1:30">
      <c r="A20" s="493" t="s">
        <v>899</v>
      </c>
      <c r="B20" s="5"/>
      <c r="C20" s="5"/>
      <c r="D20" s="723"/>
      <c r="E20" s="695"/>
      <c r="F20" s="695"/>
      <c r="G20" s="695"/>
      <c r="H20" s="695"/>
      <c r="I20" s="695">
        <f t="shared" si="0"/>
        <v>0</v>
      </c>
      <c r="J20" s="695"/>
      <c r="K20" s="695"/>
      <c r="L20" s="695"/>
      <c r="M20" s="695"/>
      <c r="N20" s="695"/>
      <c r="O20" s="695">
        <f t="shared" si="1"/>
        <v>0</v>
      </c>
      <c r="P20" s="695"/>
      <c r="Q20" s="695"/>
      <c r="R20" s="695"/>
      <c r="S20" s="695"/>
      <c r="T20" s="695">
        <f>19688.11/8*12</f>
        <v>29532.165000000001</v>
      </c>
      <c r="U20" s="711">
        <f t="shared" si="2"/>
        <v>29532.165000000001</v>
      </c>
      <c r="V20" s="683"/>
      <c r="W20" s="632"/>
      <c r="X20" s="632"/>
    </row>
    <row r="21" spans="1:30">
      <c r="A21" s="724" t="s">
        <v>898</v>
      </c>
      <c r="B21" s="5">
        <v>58800</v>
      </c>
      <c r="C21" s="5"/>
      <c r="D21" s="723"/>
      <c r="E21" s="695"/>
      <c r="F21" s="695"/>
      <c r="G21" s="695"/>
      <c r="H21" s="695"/>
      <c r="I21" s="695">
        <f t="shared" si="0"/>
        <v>0</v>
      </c>
      <c r="J21" s="695"/>
      <c r="K21" s="695"/>
      <c r="L21" s="695">
        <v>4263.08</v>
      </c>
      <c r="M21" s="695"/>
      <c r="N21" s="695"/>
      <c r="O21" s="695">
        <f t="shared" si="1"/>
        <v>4263.08</v>
      </c>
      <c r="P21" s="695"/>
      <c r="Q21" s="695"/>
      <c r="R21" s="695"/>
      <c r="S21" s="695">
        <f>'[9]Dept 005 Mgmt'!K30</f>
        <v>487.90588235294126</v>
      </c>
      <c r="T21" s="695"/>
      <c r="U21" s="711">
        <f t="shared" si="2"/>
        <v>487.90588235294126</v>
      </c>
      <c r="V21" s="683"/>
      <c r="W21" s="632"/>
      <c r="X21" s="632"/>
    </row>
    <row r="22" spans="1:30">
      <c r="A22" s="493" t="s">
        <v>897</v>
      </c>
      <c r="B22" s="5">
        <v>64000</v>
      </c>
      <c r="C22" s="5"/>
      <c r="D22" s="723"/>
      <c r="E22" s="695"/>
      <c r="F22" s="695"/>
      <c r="G22" s="695"/>
      <c r="H22" s="695"/>
      <c r="I22" s="695">
        <f t="shared" si="0"/>
        <v>0</v>
      </c>
      <c r="J22" s="695"/>
      <c r="K22" s="695"/>
      <c r="L22" s="695"/>
      <c r="M22" s="695">
        <v>3500</v>
      </c>
      <c r="N22" s="695"/>
      <c r="O22" s="695">
        <f t="shared" si="1"/>
        <v>3500</v>
      </c>
      <c r="P22" s="695"/>
      <c r="Q22" s="695"/>
      <c r="R22" s="695"/>
      <c r="S22" s="695"/>
      <c r="T22" s="695"/>
      <c r="U22" s="711">
        <f t="shared" si="2"/>
        <v>0</v>
      </c>
      <c r="V22" s="683"/>
      <c r="W22" s="632"/>
      <c r="X22" s="632"/>
    </row>
    <row r="23" spans="1:30">
      <c r="A23" s="493" t="s">
        <v>896</v>
      </c>
      <c r="B23" s="5">
        <v>64025</v>
      </c>
      <c r="C23" s="5"/>
      <c r="D23" s="723"/>
      <c r="E23" s="695">
        <v>980.33</v>
      </c>
      <c r="F23" s="695"/>
      <c r="G23" s="695"/>
      <c r="H23" s="695"/>
      <c r="I23" s="695">
        <f t="shared" si="0"/>
        <v>980.33</v>
      </c>
      <c r="J23" s="695"/>
      <c r="K23" s="695">
        <v>10750</v>
      </c>
      <c r="L23" s="695"/>
      <c r="M23" s="695"/>
      <c r="N23" s="695"/>
      <c r="O23" s="695">
        <f t="shared" si="1"/>
        <v>10750</v>
      </c>
      <c r="P23" s="695"/>
      <c r="Q23" s="695">
        <f>'[9]Dept 002 Dev'!K28</f>
        <v>12750</v>
      </c>
      <c r="R23" s="695"/>
      <c r="S23" s="695"/>
      <c r="T23" s="695"/>
      <c r="U23" s="711">
        <f t="shared" si="2"/>
        <v>12750</v>
      </c>
      <c r="V23" s="683"/>
      <c r="W23" s="632"/>
      <c r="X23" s="632"/>
    </row>
    <row r="24" spans="1:30">
      <c r="A24" s="493" t="s">
        <v>895</v>
      </c>
      <c r="B24" s="5">
        <v>64234</v>
      </c>
      <c r="C24" s="5"/>
      <c r="D24" s="723"/>
      <c r="E24" s="695">
        <v>993.45</v>
      </c>
      <c r="F24" s="695">
        <v>281.91000000000003</v>
      </c>
      <c r="G24" s="695">
        <v>1523.76</v>
      </c>
      <c r="H24" s="695"/>
      <c r="I24" s="695">
        <f t="shared" si="0"/>
        <v>2799.12</v>
      </c>
      <c r="J24" s="695"/>
      <c r="K24" s="695">
        <v>1685.3</v>
      </c>
      <c r="L24" s="695"/>
      <c r="M24" s="695">
        <v>2641.48</v>
      </c>
      <c r="N24" s="695"/>
      <c r="O24" s="695">
        <f t="shared" si="1"/>
        <v>4326.78</v>
      </c>
      <c r="P24" s="695"/>
      <c r="Q24" s="695">
        <f>'[9]Dept 002 Dev'!K29</f>
        <v>401.77</v>
      </c>
      <c r="R24" s="695">
        <f>'[9]Dept 004 Assets'!K33</f>
        <v>30</v>
      </c>
      <c r="S24" s="695">
        <f>'[9]Dept 005 Mgmt'!K32</f>
        <v>1913.4635294117645</v>
      </c>
      <c r="T24" s="695"/>
      <c r="U24" s="711">
        <f t="shared" si="2"/>
        <v>2345.2335294117647</v>
      </c>
      <c r="V24" s="683"/>
      <c r="W24" s="632"/>
      <c r="X24" s="632"/>
    </row>
    <row r="25" spans="1:30">
      <c r="A25" s="493" t="s">
        <v>894</v>
      </c>
      <c r="B25" s="5">
        <v>64300</v>
      </c>
      <c r="C25" s="5"/>
      <c r="D25" s="723"/>
      <c r="E25" s="695">
        <v>311.69</v>
      </c>
      <c r="F25" s="695">
        <v>484.53</v>
      </c>
      <c r="G25" s="695">
        <v>53.2</v>
      </c>
      <c r="H25" s="695"/>
      <c r="I25" s="695">
        <f t="shared" si="0"/>
        <v>849.42000000000007</v>
      </c>
      <c r="J25" s="695"/>
      <c r="K25" s="695">
        <v>167.62</v>
      </c>
      <c r="L25" s="695">
        <v>808.44</v>
      </c>
      <c r="M25" s="695"/>
      <c r="N25" s="695"/>
      <c r="O25" s="695">
        <f t="shared" si="1"/>
        <v>976.06000000000006</v>
      </c>
      <c r="P25" s="695"/>
      <c r="Q25" s="695">
        <f>'[9]Dept 002 Dev'!K30</f>
        <v>154.03764705882352</v>
      </c>
      <c r="R25" s="695">
        <f>'[9]Dept 004 Assets'!K34</f>
        <v>267.27529411764704</v>
      </c>
      <c r="S25" s="695">
        <f>'[9]Dept 005 Mgmt'!K33</f>
        <v>199.73647058823531</v>
      </c>
      <c r="T25" s="695"/>
      <c r="U25" s="711">
        <f t="shared" si="2"/>
        <v>621.04941176470584</v>
      </c>
      <c r="V25" s="683"/>
      <c r="W25" s="632"/>
      <c r="X25" s="632"/>
    </row>
    <row r="26" spans="1:30">
      <c r="A26" s="493" t="s">
        <v>893</v>
      </c>
      <c r="B26" s="5">
        <v>64340</v>
      </c>
      <c r="C26" s="5"/>
      <c r="D26" s="723"/>
      <c r="E26" s="695"/>
      <c r="F26" s="695"/>
      <c r="G26" s="695">
        <v>193.19</v>
      </c>
      <c r="H26" s="695"/>
      <c r="I26" s="695">
        <f t="shared" si="0"/>
        <v>193.19</v>
      </c>
      <c r="J26" s="695"/>
      <c r="K26" s="695"/>
      <c r="L26" s="695"/>
      <c r="M26" s="695"/>
      <c r="N26" s="695"/>
      <c r="O26" s="695">
        <f t="shared" si="1"/>
        <v>0</v>
      </c>
      <c r="P26" s="695"/>
      <c r="Q26" s="695"/>
      <c r="R26" s="695"/>
      <c r="S26" s="695"/>
      <c r="T26" s="695"/>
      <c r="U26" s="711">
        <f t="shared" si="2"/>
        <v>0</v>
      </c>
      <c r="V26" s="683"/>
      <c r="W26" s="632"/>
      <c r="X26" s="632"/>
    </row>
    <row r="27" spans="1:30">
      <c r="A27" s="493" t="s">
        <v>892</v>
      </c>
      <c r="B27" s="5">
        <v>64360</v>
      </c>
      <c r="C27" s="5"/>
      <c r="D27" s="723"/>
      <c r="E27" s="695"/>
      <c r="F27" s="695">
        <v>700</v>
      </c>
      <c r="G27" s="695"/>
      <c r="H27" s="695"/>
      <c r="I27" s="695">
        <f t="shared" si="0"/>
        <v>700</v>
      </c>
      <c r="J27" s="695"/>
      <c r="K27" s="695">
        <v>10680.08</v>
      </c>
      <c r="L27" s="695">
        <v>1050</v>
      </c>
      <c r="M27" s="695"/>
      <c r="N27" s="695"/>
      <c r="O27" s="695">
        <f t="shared" si="1"/>
        <v>11730.08</v>
      </c>
      <c r="P27" s="695"/>
      <c r="Q27" s="695">
        <f>'[9]Dept 002 Dev'!K31</f>
        <v>7247.3505882352947</v>
      </c>
      <c r="R27" s="695"/>
      <c r="S27" s="695">
        <f>'[9]Dept 005 Mgmt'!K35</f>
        <v>1129.4117647058824</v>
      </c>
      <c r="T27" s="695"/>
      <c r="U27" s="711">
        <f t="shared" si="2"/>
        <v>8376.7623529411776</v>
      </c>
      <c r="V27" s="683"/>
      <c r="W27" s="632"/>
      <c r="X27" s="632"/>
    </row>
    <row r="28" spans="1:30">
      <c r="A28" s="493" t="s">
        <v>891</v>
      </c>
      <c r="B28" s="5">
        <v>64800</v>
      </c>
      <c r="C28" s="5"/>
      <c r="D28" s="723"/>
      <c r="E28" s="695">
        <v>393.1</v>
      </c>
      <c r="F28" s="695">
        <v>47.17</v>
      </c>
      <c r="G28" s="695">
        <v>100.07</v>
      </c>
      <c r="H28" s="695"/>
      <c r="I28" s="695">
        <f t="shared" si="0"/>
        <v>540.34</v>
      </c>
      <c r="J28" s="695"/>
      <c r="K28" s="695">
        <v>564.80999999999995</v>
      </c>
      <c r="L28" s="695"/>
      <c r="M28" s="695">
        <v>357.26</v>
      </c>
      <c r="N28" s="695"/>
      <c r="O28" s="695">
        <f t="shared" si="1"/>
        <v>922.06999999999994</v>
      </c>
      <c r="P28" s="695"/>
      <c r="Q28" s="695">
        <f>'[9]Dept 002 Dev'!K32</f>
        <v>69.458823529411774</v>
      </c>
      <c r="R28" s="695">
        <f>'[9]Dept 004 Assets'!K36</f>
        <v>306.70588235294116</v>
      </c>
      <c r="S28" s="695">
        <f>'[9]Dept 005 Mgmt'!K36</f>
        <v>99.176470588235304</v>
      </c>
      <c r="T28" s="695"/>
      <c r="U28" s="711">
        <f t="shared" si="2"/>
        <v>475.34117647058821</v>
      </c>
      <c r="V28" s="683"/>
      <c r="W28" s="632"/>
      <c r="X28" s="632"/>
    </row>
    <row r="29" spans="1:30">
      <c r="A29" s="493" t="s">
        <v>890</v>
      </c>
      <c r="B29" s="5">
        <v>64802</v>
      </c>
      <c r="C29" s="5"/>
      <c r="D29" s="723"/>
      <c r="E29" s="695">
        <v>1194.73</v>
      </c>
      <c r="F29" s="695">
        <v>165.36</v>
      </c>
      <c r="G29" s="695"/>
      <c r="H29" s="695"/>
      <c r="I29" s="695">
        <f t="shared" si="0"/>
        <v>1360.0900000000001</v>
      </c>
      <c r="J29" s="695"/>
      <c r="K29" s="695">
        <v>64.459999999999994</v>
      </c>
      <c r="L29" s="695">
        <v>1530.59</v>
      </c>
      <c r="M29" s="695"/>
      <c r="N29" s="695"/>
      <c r="O29" s="695">
        <f t="shared" si="1"/>
        <v>1595.05</v>
      </c>
      <c r="P29" s="695"/>
      <c r="Q29" s="695"/>
      <c r="R29" s="695"/>
      <c r="S29" s="695"/>
      <c r="T29" s="695"/>
      <c r="U29" s="711">
        <f t="shared" si="2"/>
        <v>0</v>
      </c>
      <c r="V29" s="683"/>
      <c r="W29" s="632"/>
      <c r="X29" s="632"/>
    </row>
    <row r="30" spans="1:30">
      <c r="A30" s="493" t="s">
        <v>889</v>
      </c>
      <c r="B30" s="5">
        <v>64876</v>
      </c>
      <c r="C30" s="5"/>
      <c r="D30" s="723"/>
      <c r="E30" s="695">
        <v>252673.37</v>
      </c>
      <c r="F30" s="695">
        <v>6000</v>
      </c>
      <c r="G30" s="695">
        <v>9915.6200000000008</v>
      </c>
      <c r="H30" s="695"/>
      <c r="I30" s="695">
        <f t="shared" si="0"/>
        <v>268588.99</v>
      </c>
      <c r="J30" s="695"/>
      <c r="K30" s="695">
        <v>65721.929999999993</v>
      </c>
      <c r="L30" s="695">
        <f>139787.98-100000</f>
        <v>39787.98000000001</v>
      </c>
      <c r="M30" s="695">
        <v>13679.38</v>
      </c>
      <c r="N30" s="695"/>
      <c r="O30" s="695">
        <f t="shared" si="1"/>
        <v>119189.29000000001</v>
      </c>
      <c r="P30" s="695"/>
      <c r="Q30" s="695">
        <f>'[9]Dept 002 Dev'!K34</f>
        <v>100000</v>
      </c>
      <c r="R30" s="695">
        <f>'[9]Dept 004 Assets'!K38</f>
        <v>50735.251764705885</v>
      </c>
      <c r="S30" s="695">
        <f>'[9]Dept 005 Mgmt'!K37</f>
        <v>782.9082352941175</v>
      </c>
      <c r="T30" s="695"/>
      <c r="U30" s="711">
        <f t="shared" si="2"/>
        <v>151518.15999999997</v>
      </c>
      <c r="V30" s="683"/>
      <c r="W30" s="632"/>
      <c r="X30" s="632"/>
    </row>
    <row r="31" spans="1:30">
      <c r="A31" s="493"/>
      <c r="B31" s="5"/>
      <c r="C31" s="5"/>
      <c r="D31" s="723"/>
      <c r="E31" s="686"/>
      <c r="F31" s="686"/>
      <c r="G31" s="686"/>
      <c r="H31" s="686"/>
      <c r="I31" s="686"/>
      <c r="J31" s="695"/>
      <c r="K31" s="686"/>
      <c r="L31" s="685"/>
      <c r="M31" s="685"/>
      <c r="N31" s="685"/>
      <c r="O31" s="685"/>
      <c r="P31" s="695"/>
      <c r="Q31" s="686"/>
      <c r="R31" s="685"/>
      <c r="S31" s="685"/>
      <c r="T31" s="685"/>
      <c r="U31" s="725"/>
      <c r="V31" s="683"/>
      <c r="W31" s="632"/>
      <c r="X31" s="632"/>
    </row>
    <row r="32" spans="1:30" s="687" customFormat="1">
      <c r="A32" s="716" t="s">
        <v>888</v>
      </c>
      <c r="B32" s="717"/>
      <c r="C32" s="717"/>
      <c r="D32" s="726"/>
      <c r="E32" s="727">
        <f>SUM(E13:E31)</f>
        <v>646514.94999999995</v>
      </c>
      <c r="F32" s="727">
        <f>SUM(F13:F31)</f>
        <v>652949.22000000009</v>
      </c>
      <c r="G32" s="727">
        <f>SUM(G13:G31)</f>
        <v>512620.21</v>
      </c>
      <c r="H32" s="727">
        <f>SUM(H13:H31)</f>
        <v>263108.10000000003</v>
      </c>
      <c r="I32" s="727">
        <f>SUM(I13:I31)</f>
        <v>2075192.48</v>
      </c>
      <c r="J32" s="727"/>
      <c r="K32" s="727">
        <f>SUM(K13:K31)</f>
        <v>580762.49</v>
      </c>
      <c r="L32" s="727">
        <f>SUM(L13:L31)</f>
        <v>792992.31999999983</v>
      </c>
      <c r="M32" s="727">
        <f>SUM(M13:M31)</f>
        <v>616007</v>
      </c>
      <c r="N32" s="727">
        <f>SUM(N13:N31)</f>
        <v>275635.85239999997</v>
      </c>
      <c r="O32" s="727">
        <f>SUM(O13:O31)</f>
        <v>2265397.6623999998</v>
      </c>
      <c r="P32" s="727"/>
      <c r="Q32" s="727">
        <f>SUM(Q13:Q31)</f>
        <v>522898.76828323537</v>
      </c>
      <c r="R32" s="727">
        <f>SUM(R13:R31)</f>
        <v>895605.90681205876</v>
      </c>
      <c r="S32" s="727">
        <f>SUM(S13:S31)</f>
        <v>684040.7112538236</v>
      </c>
      <c r="T32" s="727">
        <f>SUM(T13:T31)</f>
        <v>170694.65500000003</v>
      </c>
      <c r="U32" s="728">
        <f>SUM(U13:U31)</f>
        <v>2273240.0413491181</v>
      </c>
      <c r="V32" s="690"/>
      <c r="W32" s="689"/>
      <c r="X32" s="689"/>
      <c r="Y32" s="688"/>
      <c r="Z32" s="688"/>
      <c r="AA32" s="688"/>
      <c r="AB32" s="688"/>
      <c r="AC32" s="688"/>
      <c r="AD32" s="688"/>
    </row>
    <row r="33" spans="1:44">
      <c r="A33" s="493"/>
      <c r="B33" s="5"/>
      <c r="C33" s="5"/>
      <c r="D33" s="723"/>
      <c r="E33" s="695"/>
      <c r="F33" s="695"/>
      <c r="G33" s="695"/>
      <c r="H33" s="695"/>
      <c r="I33" s="686"/>
      <c r="J33" s="695"/>
      <c r="K33" s="695"/>
      <c r="L33" s="76"/>
      <c r="M33" s="76"/>
      <c r="N33" s="76"/>
      <c r="O33" s="685"/>
      <c r="P33" s="695"/>
      <c r="Q33" s="695"/>
      <c r="R33" s="76"/>
      <c r="S33" s="76"/>
      <c r="T33" s="76"/>
      <c r="U33" s="725"/>
      <c r="V33" s="683"/>
      <c r="W33" s="632"/>
      <c r="X33" s="632"/>
    </row>
    <row r="34" spans="1:44" s="308" customFormat="1">
      <c r="A34" s="729" t="s">
        <v>887</v>
      </c>
      <c r="B34" s="730"/>
      <c r="C34" s="730"/>
      <c r="D34" s="731"/>
      <c r="E34" s="732"/>
      <c r="F34" s="732"/>
      <c r="G34" s="732"/>
      <c r="H34" s="732"/>
      <c r="I34" s="732">
        <f>I10-I32</f>
        <v>546101.89999999991</v>
      </c>
      <c r="J34" s="732"/>
      <c r="K34" s="732"/>
      <c r="L34" s="732"/>
      <c r="M34" s="732"/>
      <c r="N34" s="732"/>
      <c r="O34" s="732">
        <f>O10-O32</f>
        <v>33042.807600000408</v>
      </c>
      <c r="P34" s="732"/>
      <c r="Q34" s="732"/>
      <c r="R34" s="732"/>
      <c r="S34" s="732"/>
      <c r="T34" s="732"/>
      <c r="U34" s="733">
        <f>U10-U32</f>
        <v>-538915.04134911811</v>
      </c>
      <c r="V34" s="684"/>
      <c r="W34" s="674"/>
      <c r="X34" s="674"/>
      <c r="Y34" s="676"/>
      <c r="Z34" s="676"/>
      <c r="AA34" s="676"/>
      <c r="AB34" s="676"/>
      <c r="AC34" s="676"/>
      <c r="AD34" s="676"/>
      <c r="AE34" s="676"/>
      <c r="AF34" s="676"/>
      <c r="AG34" s="676"/>
      <c r="AH34" s="676"/>
      <c r="AI34" s="676"/>
      <c r="AJ34" s="676"/>
      <c r="AK34" s="676"/>
      <c r="AL34" s="676"/>
      <c r="AM34" s="676"/>
      <c r="AN34" s="676"/>
      <c r="AO34" s="676"/>
      <c r="AP34" s="676"/>
      <c r="AQ34" s="676"/>
    </row>
    <row r="35" spans="1:44">
      <c r="A35" s="493"/>
      <c r="B35" s="5"/>
      <c r="C35" s="5"/>
      <c r="D35" s="723"/>
      <c r="E35" s="695"/>
      <c r="F35" s="695"/>
      <c r="G35" s="695"/>
      <c r="H35" s="695"/>
      <c r="I35" s="695"/>
      <c r="J35" s="695"/>
      <c r="K35" s="695"/>
      <c r="L35" s="695"/>
      <c r="M35" s="695"/>
      <c r="N35" s="695"/>
      <c r="O35" s="695"/>
      <c r="P35" s="695"/>
      <c r="Q35" s="695"/>
      <c r="R35" s="695"/>
      <c r="S35" s="695"/>
      <c r="T35" s="695"/>
      <c r="U35" s="711"/>
      <c r="V35" s="683"/>
      <c r="W35" s="632"/>
      <c r="X35" s="632"/>
    </row>
    <row r="36" spans="1:44" s="586" customFormat="1">
      <c r="A36" s="734" t="s">
        <v>886</v>
      </c>
      <c r="B36" s="735"/>
      <c r="C36" s="735"/>
      <c r="D36" s="736"/>
      <c r="E36" s="737"/>
      <c r="F36" s="737"/>
      <c r="G36" s="737"/>
      <c r="H36" s="737"/>
      <c r="I36" s="737">
        <v>0</v>
      </c>
      <c r="J36" s="737"/>
      <c r="K36" s="737" t="s">
        <v>808</v>
      </c>
      <c r="L36" s="737"/>
      <c r="M36" s="737"/>
      <c r="N36" s="737"/>
      <c r="O36" s="737">
        <v>0</v>
      </c>
      <c r="P36" s="737"/>
      <c r="Q36" s="737"/>
      <c r="R36" s="737"/>
      <c r="S36" s="737"/>
      <c r="T36" s="737"/>
      <c r="U36" s="738">
        <v>0</v>
      </c>
      <c r="V36" s="682"/>
      <c r="W36" s="681"/>
      <c r="X36" s="681"/>
      <c r="Y36" s="680"/>
      <c r="Z36" s="680"/>
      <c r="AA36" s="680"/>
      <c r="AB36" s="680"/>
      <c r="AC36" s="680"/>
      <c r="AD36" s="680"/>
      <c r="AE36" s="680"/>
      <c r="AF36" s="680"/>
      <c r="AG36" s="680"/>
      <c r="AH36" s="680"/>
      <c r="AI36" s="680"/>
      <c r="AJ36" s="680"/>
      <c r="AK36" s="680"/>
      <c r="AL36" s="680"/>
      <c r="AM36" s="680"/>
      <c r="AN36" s="680"/>
      <c r="AO36" s="680"/>
      <c r="AP36" s="680"/>
      <c r="AQ36" s="680"/>
    </row>
    <row r="37" spans="1:44">
      <c r="A37" s="493"/>
      <c r="B37" s="5"/>
      <c r="C37" s="5"/>
      <c r="D37" s="5"/>
      <c r="E37" s="76"/>
      <c r="F37" s="76"/>
      <c r="G37" s="76"/>
      <c r="H37" s="76"/>
      <c r="I37" s="76"/>
      <c r="J37" s="76"/>
      <c r="K37" s="76"/>
      <c r="L37" s="76"/>
      <c r="M37" s="76"/>
      <c r="N37" s="76"/>
      <c r="O37" s="76"/>
      <c r="P37" s="76"/>
      <c r="Q37" s="76"/>
      <c r="R37" s="76"/>
      <c r="S37" s="76"/>
      <c r="T37" s="76"/>
      <c r="U37" s="720"/>
      <c r="V37" s="632"/>
      <c r="W37" s="632"/>
      <c r="X37" s="632"/>
    </row>
    <row r="38" spans="1:44" s="677" customFormat="1" ht="16" thickBot="1">
      <c r="A38" s="729" t="s">
        <v>885</v>
      </c>
      <c r="B38" s="739"/>
      <c r="C38" s="739"/>
      <c r="D38" s="739"/>
      <c r="E38" s="740"/>
      <c r="F38" s="740"/>
      <c r="G38" s="740"/>
      <c r="H38" s="740"/>
      <c r="I38" s="679">
        <f>I34-I36</f>
        <v>546101.89999999991</v>
      </c>
      <c r="J38" s="741"/>
      <c r="K38" s="741"/>
      <c r="L38" s="741"/>
      <c r="M38" s="741" t="s">
        <v>808</v>
      </c>
      <c r="N38" s="741"/>
      <c r="O38" s="675">
        <f>O34-O36</f>
        <v>33042.807600000408</v>
      </c>
      <c r="P38" s="741"/>
      <c r="Q38" s="741"/>
      <c r="R38" s="741"/>
      <c r="S38" s="741"/>
      <c r="T38" s="741"/>
      <c r="U38" s="742"/>
      <c r="V38" s="678"/>
      <c r="W38" s="673"/>
      <c r="X38" s="673"/>
      <c r="Y38" s="672"/>
      <c r="Z38" s="672"/>
      <c r="AA38" s="672"/>
      <c r="AB38" s="672"/>
      <c r="AC38" s="672"/>
      <c r="AD38" s="671"/>
      <c r="AE38" s="671"/>
      <c r="AF38" s="671"/>
      <c r="AG38" s="671"/>
      <c r="AH38" s="671"/>
      <c r="AI38" s="671"/>
      <c r="AJ38" s="671"/>
      <c r="AK38" s="671"/>
      <c r="AL38" s="671"/>
      <c r="AM38" s="671"/>
      <c r="AN38" s="671"/>
      <c r="AO38" s="671"/>
      <c r="AP38" s="671"/>
      <c r="AQ38" s="671"/>
      <c r="AR38" s="671"/>
    </row>
    <row r="39" spans="1:44" ht="17" thickTop="1" thickBot="1">
      <c r="A39" s="743" t="s">
        <v>884</v>
      </c>
      <c r="B39" s="744"/>
      <c r="C39" s="744"/>
      <c r="D39" s="744"/>
      <c r="E39" s="745"/>
      <c r="F39" s="746"/>
      <c r="G39" s="746"/>
      <c r="H39" s="746"/>
      <c r="I39" s="745">
        <f>I38-(I6-I7)</f>
        <v>3663464.375</v>
      </c>
      <c r="J39" s="745" t="s">
        <v>808</v>
      </c>
      <c r="K39" s="745" t="s">
        <v>808</v>
      </c>
      <c r="L39" s="745" t="s">
        <v>808</v>
      </c>
      <c r="M39" s="745" t="s">
        <v>808</v>
      </c>
      <c r="N39" s="745" t="s">
        <v>808</v>
      </c>
      <c r="O39" s="745">
        <f>O38-(O6-O7)</f>
        <v>1421679.1076000005</v>
      </c>
      <c r="P39" s="746"/>
      <c r="Q39" s="746"/>
      <c r="R39" s="746"/>
      <c r="S39" s="746"/>
      <c r="T39" s="746"/>
      <c r="U39" s="747">
        <f>U34-U36</f>
        <v>-538915.04134911811</v>
      </c>
      <c r="V39" s="673"/>
      <c r="W39" s="673"/>
      <c r="X39" s="673"/>
      <c r="Y39" s="672"/>
      <c r="Z39" s="672"/>
      <c r="AA39" s="672"/>
      <c r="AB39" s="672"/>
      <c r="AC39" s="672"/>
      <c r="AD39" s="671"/>
      <c r="AE39" s="671"/>
      <c r="AF39" s="671"/>
      <c r="AG39" s="671"/>
      <c r="AH39" s="671"/>
      <c r="AI39" s="671"/>
      <c r="AJ39" s="671"/>
      <c r="AK39" s="671"/>
      <c r="AL39" s="671"/>
      <c r="AM39" s="671"/>
      <c r="AN39" s="671"/>
      <c r="AO39" s="671"/>
      <c r="AP39" s="671"/>
      <c r="AQ39" s="671"/>
      <c r="AR39" s="671"/>
    </row>
  </sheetData>
  <mergeCells count="3">
    <mergeCell ref="E1:I1"/>
    <mergeCell ref="K1:O1"/>
    <mergeCell ref="Q1:U1"/>
  </mergeCells>
  <pageMargins left="0" right="0" top="0.75" bottom="0.75" header="0.3" footer="0.3"/>
  <pageSetup scale="8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046F893A16904AA06CDEE5EA9E6361" ma:contentTypeVersion="0" ma:contentTypeDescription="Create a new document." ma:contentTypeScope="" ma:versionID="cdec635b684d138af24a12a29de3c6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A8DE56C-5001-4C67-88B9-FC7D56FCB8BF}">
  <ds:schemaRef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064A1D90-5DD2-4B4D-84F3-8FF1017BCA37}">
  <ds:schemaRefs>
    <ds:schemaRef ds:uri="http://schemas.microsoft.com/sharepoint/v3/contenttype/forms"/>
  </ds:schemaRefs>
</ds:datastoreItem>
</file>

<file path=customXml/itemProps3.xml><?xml version="1.0" encoding="utf-8"?>
<ds:datastoreItem xmlns:ds="http://schemas.openxmlformats.org/officeDocument/2006/customXml" ds:itemID="{F07E8199-6E54-44BF-92A9-A59F586589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40</vt:i4>
      </vt:variant>
      <vt:variant>
        <vt:lpstr>Named Ranges</vt:lpstr>
      </vt:variant>
      <vt:variant>
        <vt:i4>32</vt:i4>
      </vt:variant>
    </vt:vector>
  </HeadingPairs>
  <TitlesOfParts>
    <vt:vector size="72" baseType="lpstr">
      <vt:lpstr>Cover</vt:lpstr>
      <vt:lpstr>List of Active Projects</vt:lpstr>
      <vt:lpstr>Pipeline Demographics-Active</vt:lpstr>
      <vt:lpstr>Pipeline Demographics-Inactive</vt:lpstr>
      <vt:lpstr>Pipeline Demographics-ALL</vt:lpstr>
      <vt:lpstr>2012DevFee Budget-DO NOT CHANGE</vt:lpstr>
      <vt:lpstr>Forecast Tracker</vt:lpstr>
      <vt:lpstr>Detail</vt:lpstr>
      <vt:lpstr>Operational P&amp;L</vt:lpstr>
      <vt:lpstr>Reporting Summary RVSD</vt:lpstr>
      <vt:lpstr>26th &amp; Kostner</vt:lpstr>
      <vt:lpstr>Countryside</vt:lpstr>
      <vt:lpstr>Countryside Cap Installments</vt:lpstr>
      <vt:lpstr>Grayslake</vt:lpstr>
      <vt:lpstr>Grayslake Cap Installments</vt:lpstr>
      <vt:lpstr>MKE - Johnston Center</vt:lpstr>
      <vt:lpstr>Pullman</vt:lpstr>
      <vt:lpstr>Pullman Cap Installments</vt:lpstr>
      <vt:lpstr>Roseland</vt:lpstr>
      <vt:lpstr>Sterling Park</vt:lpstr>
      <vt:lpstr>MKE - 5th Ward</vt:lpstr>
      <vt:lpstr>MKE - Greenwich Apts</vt:lpstr>
      <vt:lpstr>YMCA Austin</vt:lpstr>
      <vt:lpstr>HWA</vt:lpstr>
      <vt:lpstr>850 Eastwood</vt:lpstr>
      <vt:lpstr>HWA-850 Capital Installments</vt:lpstr>
      <vt:lpstr>Uptown Refi</vt:lpstr>
      <vt:lpstr>Kankakee</vt:lpstr>
      <vt:lpstr>Johnston Ctr 2</vt:lpstr>
      <vt:lpstr>Danville VA Hospital</vt:lpstr>
      <vt:lpstr>Childrens Memorial</vt:lpstr>
      <vt:lpstr>Englewood</vt:lpstr>
      <vt:lpstr>Menomonee River Valley</vt:lpstr>
      <vt:lpstr>Pullman Wheelworks 2</vt:lpstr>
      <vt:lpstr>Danville VA Hospital 2</vt:lpstr>
      <vt:lpstr>Westside Resyndication</vt:lpstr>
      <vt:lpstr>Staff Capacity</vt:lpstr>
      <vt:lpstr>Debt Repay Schedule</vt:lpstr>
      <vt:lpstr>2012 Detail by Month</vt:lpstr>
      <vt:lpstr>Sheet1</vt:lpstr>
      <vt:lpstr>'26th &amp; Kostner'!Print_Area</vt:lpstr>
      <vt:lpstr>'850 Eastwood'!Print_Area</vt:lpstr>
      <vt:lpstr>'Childrens Memorial'!Print_Area</vt:lpstr>
      <vt:lpstr>Countryside!Print_Area</vt:lpstr>
      <vt:lpstr>Cover!Print_Area</vt:lpstr>
      <vt:lpstr>'Danville VA Hospital'!Print_Area</vt:lpstr>
      <vt:lpstr>'Danville VA Hospital 2'!Print_Area</vt:lpstr>
      <vt:lpstr>Detail!Print_Area</vt:lpstr>
      <vt:lpstr>Englewood!Print_Area</vt:lpstr>
      <vt:lpstr>Grayslake!Print_Area</vt:lpstr>
      <vt:lpstr>HWA!Print_Area</vt:lpstr>
      <vt:lpstr>'Johnston Ctr 2'!Print_Area</vt:lpstr>
      <vt:lpstr>Kankakee!Print_Area</vt:lpstr>
      <vt:lpstr>'List of Active Projects'!Print_Area</vt:lpstr>
      <vt:lpstr>'Menomonee River Valley'!Print_Area</vt:lpstr>
      <vt:lpstr>'MKE - 5th Ward'!Print_Area</vt:lpstr>
      <vt:lpstr>'MKE - Greenwich Apts'!Print_Area</vt:lpstr>
      <vt:lpstr>'MKE - Johnston Center'!Print_Area</vt:lpstr>
      <vt:lpstr>Pullman!Print_Area</vt:lpstr>
      <vt:lpstr>'Pullman Wheelworks 2'!Print_Area</vt:lpstr>
      <vt:lpstr>'Reporting Summary RVSD'!Print_Area</vt:lpstr>
      <vt:lpstr>Roseland!Print_Area</vt:lpstr>
      <vt:lpstr>'Staff Capacity'!Print_Area</vt:lpstr>
      <vt:lpstr>'Sterling Park'!Print_Area</vt:lpstr>
      <vt:lpstr>'Uptown Refi'!Print_Area</vt:lpstr>
      <vt:lpstr>'Westside Resyndication'!Print_Area</vt:lpstr>
      <vt:lpstr>'YMCA Austin'!Print_Area</vt:lpstr>
      <vt:lpstr>'2012 Detail by Month'!Print_Titles</vt:lpstr>
      <vt:lpstr>'Debt Repay Schedule'!Print_Titles</vt:lpstr>
      <vt:lpstr>Detail!Print_Titles</vt:lpstr>
      <vt:lpstr>'Operational P&amp;L'!Print_Titles</vt:lpstr>
      <vt:lpstr>'Reporting Summary RVSD'!Print_Titles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Fergus</dc:creator>
  <cp:lastModifiedBy>Microsoft Office User</cp:lastModifiedBy>
  <cp:lastPrinted>2012-04-19T21:55:07Z</cp:lastPrinted>
  <dcterms:created xsi:type="dcterms:W3CDTF">2008-11-12T23:02:33Z</dcterms:created>
  <dcterms:modified xsi:type="dcterms:W3CDTF">2019-09-09T20:12:50Z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0x010100C6046F893A16904AA06CDEE5EA9E6361</vt:lpwstr>
  </property>
</Properties>
</file>